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omments1.xml" ContentType="application/vnd.openxmlformats-officedocument.spreadsheetml.comment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Users/bernard/Documents/Tiger Technology/Partners/Milestone/AWS Marketplace/"/>
    </mc:Choice>
  </mc:AlternateContent>
  <xr:revisionPtr revIDLastSave="0" documentId="13_ncr:1_{A1417E23-2074-CA41-99D9-35307FC7C1BC}" xr6:coauthVersionLast="47" xr6:coauthVersionMax="47" xr10:uidLastSave="{00000000-0000-0000-0000-000000000000}"/>
  <workbookProtection workbookAlgorithmName="SHA-512" workbookHashValue="cuc4H0e+XIyEbHp8JsoDWekUPuRZbOe5NoldhbTsc4lVTXy0zVK8ZJB/YvBoOhJfJk1yFcmgg31YHMxICwv5sQ==" workbookSaltValue="sSq3+dXTPLCogU4fTOxUgg==" workbookSpinCount="100000" lockStructure="1"/>
  <bookViews>
    <workbookView xWindow="5720" yWindow="0" windowWidth="17620" windowHeight="20020" tabRatio="720" xr2:uid="{00000000-000D-0000-FFFF-FFFF00000000}"/>
  </bookViews>
  <sheets>
    <sheet name="XProtect Calculator" sheetId="11" r:id="rId1"/>
    <sheet name="Surveillance Bridge" sheetId="16" r:id="rId2"/>
    <sheet name="Tiger Connector" sheetId="18" state="hidden" r:id="rId3"/>
    <sheet name="Tiger Input" sheetId="17" state="hidden" r:id="rId4"/>
    <sheet name="Input" sheetId="12" state="hidden" r:id="rId5"/>
    <sheet name="Calulations" sheetId="14" state="hidden" r:id="rId6"/>
    <sheet name="EC2" sheetId="2" state="hidden" r:id="rId7"/>
    <sheet name="EC2 Guideline" sheetId="4" state="hidden" r:id="rId8"/>
    <sheet name="Storage Calulations" sheetId="15" state="hidden" r:id="rId9"/>
    <sheet name="AWS Prices" sheetId="13" state="hidden" r:id="rId10"/>
  </sheets>
  <definedNames>
    <definedName name="_xlnm._FilterDatabase" localSheetId="0" hidden="1">'XProtect Calculator'!$C$20:$H$22</definedName>
    <definedName name="AppStream_Hours">Calulations!$B$36</definedName>
    <definedName name="AppStream_Instance_Type">Calulations!$B$35</definedName>
    <definedName name="AppStream_Streaming_Price">Calulations!$B$37</definedName>
    <definedName name="AppStream_Users_Price">Calulations!$B$34</definedName>
    <definedName name="Archive">Input!$C$60</definedName>
    <definedName name="Archive__retention_period">'Surveillance Bridge'!$D$17</definedName>
    <definedName name="Archive_Storage">'EC2'!$B$14</definedName>
    <definedName name="Archive_Tier_Capacity">'Tiger Input'!$J$62</definedName>
    <definedName name="Archive_Tier_capacity_required">'Tiger Input'!$C$3</definedName>
    <definedName name="AWS_Archive_Tier">'Tiger Input'!$B$18:$P$23</definedName>
    <definedName name="AWS_Archive_Tier_cost">'Tiger Input'!$M$74</definedName>
    <definedName name="AWS_Immediate_Tier">'Tiger Input'!$B$12:$P$14</definedName>
    <definedName name="AWS_Immediate_Tier_cost">'Tiger Input'!$M$59</definedName>
    <definedName name="AWS_Services">'AWS Prices'!$A$22:$C$31</definedName>
    <definedName name="Check_EC2_Payment">Input!$F$7</definedName>
    <definedName name="Check_Region">Input!$F$2</definedName>
    <definedName name="Client_Access">Input!$E$43</definedName>
    <definedName name="Combing">#REF!</definedName>
    <definedName name="Custom_Archive">'XProtect Calculator'!$C$56</definedName>
    <definedName name="Custom_MediaDB">'XProtect Calculator'!$C$53</definedName>
    <definedName name="Custom_MediaDB1">'Surveillance Bridge'!$C$71</definedName>
    <definedName name="Daily_Usage">'XProtect Calculator'!$C$72</definedName>
    <definedName name="Down_Throughput">'XProtect Calculator'!$E$94</definedName>
    <definedName name="Downlink">Calulations!$A$42:$B$45</definedName>
    <definedName name="EBS_ConfigDB_Price">Calulations!$A$5</definedName>
    <definedName name="EBS_LiveDB_Price">Calulations!$A$8</definedName>
    <definedName name="EC2_Instance">'EC2'!$B$32</definedName>
    <definedName name="EC2_Instances">'AWS Prices'!$A$3:$E$10</definedName>
    <definedName name="EC2_Payment">Input!$E$7</definedName>
    <definedName name="EC2_Payment_Name">Input!$G$7</definedName>
    <definedName name="EC2_Performance">'EC2 Guideline'!$A$5:$F$11</definedName>
    <definedName name="EC2_Performance_10">'EC2 Guideline'!$A$16:$B$23</definedName>
    <definedName name="EC2_Performance_100">'EC2 Guideline'!$A$46:$B$53</definedName>
    <definedName name="EC2_Performance_25">'EC2 Guideline'!$A$26:$B$33</definedName>
    <definedName name="EC2_Performance_50">'EC2 Guideline'!$A$36:$B$43</definedName>
    <definedName name="EC2_Price">Calulations!$A$2</definedName>
    <definedName name="EC2_Price_Column">Input!$K$2</definedName>
    <definedName name="EC2Data">Input!$C$82</definedName>
    <definedName name="Egress_per_Month">Calulations!$B$27</definedName>
    <definedName name="Egress_Price">Calulations!$B$28</definedName>
    <definedName name="Error_Message">Input!$C$65:$P$79</definedName>
    <definedName name="FSX_AZ">Input!$H$50</definedName>
    <definedName name="FSX_AZ_Deployment">Input!$G$50</definedName>
    <definedName name="FSX_Storage_Price">Calulations!$B$11</definedName>
    <definedName name="FSX_Thoughput_Allocation">Calulations!$B$15</definedName>
    <definedName name="FSX_Throughput">'EC2'!#REF!</definedName>
    <definedName name="FSX_Throughput_Price">Calulations!$B$16</definedName>
    <definedName name="Immediate_Tier_Capacity">'Tiger Input'!$J$48</definedName>
    <definedName name="Immediate_Tier_capacity_required">'Tiger Input'!$C$2</definedName>
    <definedName name="InputData">Input!$C$80</definedName>
    <definedName name="Investigation">'XProtect Calculator'!#REF!</definedName>
    <definedName name="Live_Storage">'EC2'!$B$13</definedName>
    <definedName name="MediaDB">Input!$C$59</definedName>
    <definedName name="Nearline_retention_period">'Surveillance Bridge'!$D$14</definedName>
    <definedName name="Network_Overhead">'Storage Calulations'!$C$25</definedName>
    <definedName name="NetworkStorage">#REF!</definedName>
    <definedName name="No_Cameras">'XProtect Calculator'!$C$22</definedName>
    <definedName name="No_Operators">'XProtect Calculator'!$C$68</definedName>
    <definedName name="No_Sites">'XProtect Calculator'!$C$88</definedName>
    <definedName name="Number_of_folders">'Tiger Input'!$C$5</definedName>
    <definedName name="Percentage_of_material_being_reviewed">'Tiger Input'!$C$91</definedName>
    <definedName name="Percentage_OnPremises">'Surveillance Bridge'!$C$22</definedName>
    <definedName name="Rec_degree">Input!$G$13</definedName>
    <definedName name="Rec_Stream">'XProtect Calculator'!$C$26</definedName>
    <definedName name="Reclaim">#REF!</definedName>
    <definedName name="Recording_bandwidth_per_camera">#REF!</definedName>
    <definedName name="Region">Input!$E$2</definedName>
    <definedName name="Region_Name">Input!$G$2</definedName>
    <definedName name="Region_Offset">'Tiger Input'!$D$39</definedName>
    <definedName name="Req_Archive">'Storage Calulations'!$D$15</definedName>
    <definedName name="Req_MediaDB">'Storage Calulations'!$D$14</definedName>
    <definedName name="ReqStorage">'Storage Calulations'!$A$14</definedName>
    <definedName name="Retention_Time">'XProtect Calculator'!$C$34</definedName>
    <definedName name="Retention_Unit">'XProtect Calculator'!$J$34</definedName>
    <definedName name="Selected_Archive_tier">'Surveillance Bridge'!$F$17</definedName>
    <definedName name="Selected_Immediate_Tier">'Surveillance Bridge'!$F$14</definedName>
    <definedName name="Storage_Input">Input!$A$57</definedName>
    <definedName name="StorageData">Input!$C$81</definedName>
    <definedName name="Table_Split">'Tiger Input'!$C$4</definedName>
    <definedName name="Throughput">Calulations!$B$20</definedName>
    <definedName name="Time_Factor">Input!$K$21</definedName>
    <definedName name="Total_Days">'Tiger Connector'!$E$5</definedName>
    <definedName name="Up_Throughput">'XProtect Calculator'!$E$93</definedName>
    <definedName name="Uplink">'Storage Calulations'!$C$27</definedName>
    <definedName name="Video_Streams">Input!$B$33:$H$41</definedName>
    <definedName name="Viewed_Cameras">Input!$G$29</definedName>
    <definedName name="Viewing_Pattern">'Surveillance Bridge'!#REF!</definedName>
    <definedName name="VPN">Calulations!$B$21</definedName>
    <definedName name="VPN_Price">Calulations!$B$19</definedName>
    <definedName name="Weighted_no_Cameras">'EC2'!$B$31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2" i="17" l="1"/>
  <c r="C5" i="17" l="1"/>
  <c r="G53" i="17" s="1" a="1"/>
  <c r="G53" i="17" s="1"/>
  <c r="E10" i="18"/>
  <c r="C9" i="18"/>
  <c r="E9" i="18" s="1"/>
  <c r="C6" i="18"/>
  <c r="C4" i="18"/>
  <c r="E4" i="18" s="1"/>
  <c r="E5" i="18" s="1"/>
  <c r="C11" i="16" s="1"/>
  <c r="C87" i="17"/>
  <c r="E11" i="18" s="1"/>
  <c r="C86" i="17"/>
  <c r="K72" i="17"/>
  <c r="K69" i="17"/>
  <c r="K67" i="17"/>
  <c r="D62" i="17"/>
  <c r="E62" i="17" s="1"/>
  <c r="F62" i="17" s="1"/>
  <c r="C48" i="17"/>
  <c r="D48" i="17" s="1"/>
  <c r="E48" i="17" s="1"/>
  <c r="F48" i="17" s="1"/>
  <c r="D39" i="17"/>
  <c r="C7" i="17" s="1"/>
  <c r="C39" i="17"/>
  <c r="B52" i="16"/>
  <c r="O43" i="16"/>
  <c r="N43" i="16"/>
  <c r="B43" i="16"/>
  <c r="B39" i="16"/>
  <c r="B36" i="16"/>
  <c r="B5" i="15" l="1"/>
  <c r="B31" i="2"/>
  <c r="B48" i="2" s="1"/>
  <c r="C15" i="4"/>
  <c r="G15" i="14"/>
  <c r="G16" i="14" s="1"/>
  <c r="B50" i="2" l="1"/>
  <c r="B49" i="2"/>
  <c r="B51" i="2"/>
  <c r="C79" i="12" l="1"/>
  <c r="C78" i="12"/>
  <c r="C77" i="12"/>
  <c r="C76" i="12"/>
  <c r="C75" i="12"/>
  <c r="C72" i="12"/>
  <c r="C71" i="12"/>
  <c r="C70" i="12"/>
  <c r="C69" i="12"/>
  <c r="C68" i="12"/>
  <c r="C67" i="12"/>
  <c r="F7" i="12"/>
  <c r="C66" i="12" s="1"/>
  <c r="F2" i="12"/>
  <c r="C65" i="12" s="1"/>
  <c r="C82" i="12" l="1"/>
  <c r="C81" i="12"/>
  <c r="B3" i="15"/>
  <c r="B2" i="2" l="1"/>
  <c r="B3" i="2"/>
  <c r="B5" i="2"/>
  <c r="H26" i="2"/>
  <c r="H28" i="2" s="1"/>
  <c r="H27" i="2"/>
  <c r="H29" i="2"/>
  <c r="B35" i="2"/>
  <c r="B36" i="2"/>
  <c r="B37" i="2"/>
  <c r="B45" i="14"/>
  <c r="C18" i="2" l="1"/>
  <c r="C27" i="2" s="1"/>
  <c r="F18" i="2"/>
  <c r="F19" i="2" s="1"/>
  <c r="F20" i="2" s="1"/>
  <c r="B15" i="2" s="1"/>
  <c r="D40" i="2"/>
  <c r="A18" i="2"/>
  <c r="B40" i="2"/>
  <c r="H18" i="2"/>
  <c r="H19" i="2" s="1"/>
  <c r="H20" i="2" s="1"/>
  <c r="H21" i="2" s="1"/>
  <c r="H22" i="2" s="1"/>
  <c r="C19" i="2" l="1"/>
  <c r="C20" i="2" s="1"/>
  <c r="C21" i="2" s="1"/>
  <c r="F21" i="2"/>
  <c r="F23" i="2" s="1"/>
  <c r="H23" i="2"/>
  <c r="A19" i="2"/>
  <c r="A27" i="2"/>
  <c r="F22" i="2" l="1"/>
  <c r="C28" i="2"/>
  <c r="C29" i="2" s="1"/>
  <c r="B11" i="2"/>
  <c r="B12" i="2" s="1"/>
  <c r="A20" i="2"/>
  <c r="A21" i="2" s="1"/>
  <c r="A28" i="2"/>
  <c r="A29" i="2" s="1"/>
  <c r="C22" i="2"/>
  <c r="C23" i="2"/>
  <c r="A23" i="2" l="1"/>
  <c r="A22" i="2"/>
  <c r="B38" i="2" l="1"/>
  <c r="B2" i="15" l="1"/>
  <c r="H26" i="15" l="1"/>
  <c r="H28" i="15" s="1"/>
  <c r="A5" i="14"/>
  <c r="C18" i="15" l="1"/>
  <c r="C19" i="15" s="1"/>
  <c r="H27" i="15"/>
  <c r="H18" i="15"/>
  <c r="H19" i="15" s="1"/>
  <c r="H20" i="15" s="1"/>
  <c r="H21" i="15" s="1"/>
  <c r="A18" i="15"/>
  <c r="H29" i="15"/>
  <c r="F18" i="15"/>
  <c r="F19" i="15" s="1"/>
  <c r="F20" i="15" s="1"/>
  <c r="J50" i="12"/>
  <c r="I50" i="12"/>
  <c r="O125" i="11"/>
  <c r="B36" i="14"/>
  <c r="B34" i="14"/>
  <c r="O124" i="11"/>
  <c r="O121" i="11"/>
  <c r="C27" i="15" l="1"/>
  <c r="F21" i="15"/>
  <c r="C20" i="15"/>
  <c r="C21" i="15" s="1"/>
  <c r="C28" i="15"/>
  <c r="C29" i="15" s="1"/>
  <c r="A19" i="15"/>
  <c r="A27" i="15"/>
  <c r="H23" i="15"/>
  <c r="H22" i="15"/>
  <c r="G17" i="14"/>
  <c r="G18" i="14" s="1"/>
  <c r="G19" i="14" s="1"/>
  <c r="G20" i="14" l="1"/>
  <c r="G21" i="14" s="1"/>
  <c r="G22" i="14" s="1"/>
  <c r="C23" i="15"/>
  <c r="C22" i="15"/>
  <c r="A28" i="15"/>
  <c r="A29" i="15" s="1"/>
  <c r="A20" i="15"/>
  <c r="A21" i="15" s="1"/>
  <c r="B12" i="15"/>
  <c r="B13" i="15" s="1"/>
  <c r="F23" i="15"/>
  <c r="F22" i="15"/>
  <c r="D35" i="12"/>
  <c r="E35" i="12" s="1"/>
  <c r="D36" i="12"/>
  <c r="E36" i="12" s="1"/>
  <c r="D37" i="12"/>
  <c r="E37" i="12" s="1"/>
  <c r="D38" i="12"/>
  <c r="E38" i="12" s="1"/>
  <c r="D39" i="12"/>
  <c r="E39" i="12" s="1"/>
  <c r="D40" i="12"/>
  <c r="E40" i="12" s="1"/>
  <c r="D41" i="12"/>
  <c r="E41" i="12" s="1"/>
  <c r="D34" i="12"/>
  <c r="E34" i="12" s="1"/>
  <c r="D33" i="12"/>
  <c r="E33" i="12" s="1"/>
  <c r="G29" i="12"/>
  <c r="C88" i="17" s="1"/>
  <c r="A34" i="14"/>
  <c r="B133" i="11"/>
  <c r="C90" i="17" l="1"/>
  <c r="E12" i="18"/>
  <c r="G10" i="15"/>
  <c r="A23" i="15"/>
  <c r="A22" i="15"/>
  <c r="B35" i="14"/>
  <c r="B37" i="14" s="1"/>
  <c r="B24" i="14"/>
  <c r="B25" i="14" s="1"/>
  <c r="B26" i="14" l="1"/>
  <c r="B27" i="14" s="1"/>
  <c r="B44" i="14"/>
  <c r="B43" i="14"/>
  <c r="N125" i="11"/>
  <c r="B58" i="14"/>
  <c r="B125" i="11"/>
  <c r="B28" i="14" l="1"/>
  <c r="B57" i="14" l="1"/>
  <c r="H50" i="12"/>
  <c r="G50" i="12"/>
  <c r="C27" i="13"/>
  <c r="B19" i="14" s="1"/>
  <c r="B27" i="13"/>
  <c r="H26" i="12"/>
  <c r="K21" i="12" s="1"/>
  <c r="B9" i="2" s="1"/>
  <c r="H25" i="12"/>
  <c r="G7" i="12"/>
  <c r="G2" i="12"/>
  <c r="B33" i="16" s="1"/>
  <c r="K2" i="12"/>
  <c r="B10" i="13"/>
  <c r="B9" i="13"/>
  <c r="F9" i="13" s="1"/>
  <c r="B8" i="13"/>
  <c r="B7" i="13"/>
  <c r="B6" i="13"/>
  <c r="F6" i="13" s="1"/>
  <c r="B5" i="13"/>
  <c r="F5" i="13" s="1"/>
  <c r="B4" i="13"/>
  <c r="F4" i="13" s="1"/>
  <c r="F8" i="13"/>
  <c r="F7" i="13"/>
  <c r="F10" i="13"/>
  <c r="B3" i="13"/>
  <c r="F3" i="13" s="1"/>
  <c r="C10" i="13"/>
  <c r="G10" i="13" s="1"/>
  <c r="C9" i="13"/>
  <c r="G9" i="13"/>
  <c r="C8" i="13"/>
  <c r="G8" i="13" s="1"/>
  <c r="C7" i="13"/>
  <c r="G7" i="13" s="1"/>
  <c r="C6" i="13"/>
  <c r="G6" i="13" s="1"/>
  <c r="C5" i="13"/>
  <c r="G5" i="13" s="1"/>
  <c r="C3" i="13"/>
  <c r="G3" i="13" s="1"/>
  <c r="C4" i="13"/>
  <c r="G4" i="13" s="1"/>
  <c r="G13" i="12"/>
  <c r="B32" i="2" l="1"/>
  <c r="C89" i="17"/>
  <c r="C91" i="17" s="1"/>
  <c r="I49" i="17" s="1" a="1"/>
  <c r="I49" i="17" s="1"/>
  <c r="B100" i="11"/>
  <c r="B39" i="17"/>
  <c r="K22" i="11"/>
  <c r="B4" i="2"/>
  <c r="B13" i="2" s="1"/>
  <c r="B34" i="2" s="1"/>
  <c r="G16" i="15"/>
  <c r="B12" i="14"/>
  <c r="B14" i="14" s="1"/>
  <c r="B4" i="15"/>
  <c r="B14" i="15" s="1"/>
  <c r="B9" i="15"/>
  <c r="C14" i="14" l="1"/>
  <c r="B15" i="14" s="1"/>
  <c r="B39" i="2"/>
  <c r="B41" i="2" s="1"/>
  <c r="B44" i="2" s="1"/>
  <c r="B14" i="2"/>
  <c r="G11" i="15"/>
  <c r="G14" i="15"/>
  <c r="D14" i="15"/>
  <c r="G15" i="15"/>
  <c r="C8" i="18" l="1"/>
  <c r="E8" i="18" s="1"/>
  <c r="C1" i="17" s="1"/>
  <c r="B15" i="15"/>
  <c r="D15" i="15" s="1"/>
  <c r="C73" i="12"/>
  <c r="C59" i="12"/>
  <c r="B16" i="14"/>
  <c r="K53" i="11"/>
  <c r="E43" i="11"/>
  <c r="B43" i="2"/>
  <c r="B45" i="2"/>
  <c r="C8" i="16" l="1"/>
  <c r="A8" i="14"/>
  <c r="C7" i="18"/>
  <c r="E7" i="18" s="1"/>
  <c r="C74" i="12"/>
  <c r="C60" i="12"/>
  <c r="E44" i="11"/>
  <c r="C80" i="12"/>
  <c r="K56" i="11"/>
  <c r="C2" i="17" l="1"/>
  <c r="B37" i="16" s="1"/>
  <c r="B114" i="11"/>
  <c r="B102" i="11"/>
  <c r="B124" i="11"/>
  <c r="B108" i="11"/>
  <c r="B101" i="11"/>
  <c r="N124" i="11"/>
  <c r="N108" i="11"/>
  <c r="E93" i="11"/>
  <c r="B121" i="11"/>
  <c r="E94" i="11"/>
  <c r="N121" i="11"/>
  <c r="D105" i="11"/>
  <c r="B105" i="11"/>
  <c r="B115" i="11"/>
  <c r="B111" i="11"/>
  <c r="N115" i="11"/>
  <c r="N111" i="11"/>
  <c r="B11" i="14"/>
  <c r="N114" i="11" s="1"/>
  <c r="B20" i="14" l="1"/>
  <c r="C96" i="11" s="1"/>
  <c r="B55" i="14"/>
  <c r="A2" i="14"/>
  <c r="N105" i="11" s="1"/>
  <c r="B21" i="14" l="1"/>
  <c r="B53" i="14"/>
  <c r="B56" i="14" l="1"/>
  <c r="B118" i="11"/>
  <c r="N118" i="11"/>
  <c r="N128" i="11" s="1"/>
  <c r="N129" i="11" s="1"/>
  <c r="N131" i="11" s="1"/>
  <c r="O118" i="11"/>
  <c r="B54" i="14"/>
  <c r="N130" i="11" l="1"/>
  <c r="J26" i="17" l="1"/>
  <c r="J25" i="17"/>
  <c r="H53" i="17" l="1"/>
  <c r="D7" i="17"/>
  <c r="C25" i="17"/>
  <c r="C26" i="17"/>
  <c r="E7" i="17" l="1"/>
  <c r="D26" i="17"/>
  <c r="D25" i="17"/>
  <c r="F7" i="17" l="1"/>
  <c r="E26" i="17"/>
  <c r="E25" i="17"/>
  <c r="F26" i="17" l="1"/>
  <c r="G7" i="17"/>
  <c r="F25" i="17"/>
  <c r="G25" i="17" l="1"/>
  <c r="H7" i="17"/>
  <c r="G26" i="17"/>
  <c r="H26" i="17" l="1"/>
  <c r="H25" i="17"/>
  <c r="I7" i="17"/>
  <c r="B34" i="16" l="1"/>
  <c r="I26" i="17"/>
  <c r="M62" i="17" s="1"/>
  <c r="I25" i="17"/>
  <c r="M47" i="17" s="1"/>
  <c r="M48" i="17" s="1"/>
  <c r="I63" i="17" l="1"/>
  <c r="D17" i="16" l="1"/>
  <c r="M63" i="17" s="1"/>
  <c r="C3" i="17" l="1"/>
  <c r="G61" i="17" l="1" a="1"/>
  <c r="G61" i="17" s="1"/>
  <c r="B40" i="16"/>
  <c r="G47" i="17" a="1"/>
  <c r="G47" i="17" s="1"/>
  <c r="G48" i="17" l="1"/>
  <c r="H48" i="17" s="1"/>
  <c r="J49" i="17"/>
  <c r="J48" i="17"/>
  <c r="M49" i="17" s="1"/>
  <c r="J63" i="17"/>
  <c r="G62" i="17"/>
  <c r="H62" i="17" s="1"/>
  <c r="J62" i="17"/>
  <c r="M64" i="17" s="1"/>
  <c r="H63" i="17" l="1"/>
  <c r="M68" i="17"/>
  <c r="M71" i="17"/>
  <c r="M69" i="17"/>
  <c r="M73" i="17"/>
  <c r="M67" i="17"/>
  <c r="M72" i="17"/>
  <c r="M70" i="17"/>
  <c r="M66" i="17"/>
  <c r="M65" i="17"/>
  <c r="M51" i="17"/>
  <c r="M50" i="17"/>
  <c r="H49" i="17"/>
  <c r="M53" i="17"/>
  <c r="M56" i="17"/>
  <c r="M52" i="17"/>
  <c r="M55" i="17"/>
  <c r="M57" i="17"/>
  <c r="M58" i="17"/>
  <c r="M54" i="17"/>
  <c r="M74" i="17" l="1"/>
  <c r="K40" i="16" s="1"/>
  <c r="M59" i="17"/>
  <c r="N37" i="16" l="1"/>
  <c r="C80" i="17" s="1"/>
  <c r="K37" i="16"/>
  <c r="N40" i="16"/>
  <c r="C81" i="17" s="1"/>
  <c r="N46" i="16" l="1"/>
  <c r="N49" i="16" l="1"/>
  <c r="N48" i="16"/>
  <c r="N47" i="16"/>
  <c r="N50"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Per Krarup</author>
  </authors>
  <commentList>
    <comment ref="D13" authorId="0" shapeId="0" xr:uid="{D46218C5-BFD0-438E-A6FB-4F30142B6464}">
      <text>
        <r>
          <rPr>
            <sz val="9"/>
            <color indexed="81"/>
            <rFont val="Tahoma"/>
            <family val="2"/>
          </rPr>
          <t>Consider to add extra storage if the live storage retention is less than a week.</t>
        </r>
      </text>
    </comment>
    <comment ref="A15" authorId="0" shapeId="0" xr:uid="{043AB99F-5776-4B68-9E0F-9FBE924534C9}">
      <text>
        <r>
          <rPr>
            <sz val="9"/>
            <color indexed="81"/>
            <rFont val="Tahoma"/>
            <family val="2"/>
          </rPr>
          <t>Sized for 2 hours of recording and 20 IOPS per camera.</t>
        </r>
      </text>
    </comment>
    <comment ref="I26" authorId="0" shapeId="0" xr:uid="{B2CE1483-BD9D-4232-B06D-121E685838A9}">
      <text>
        <r>
          <rPr>
            <b/>
            <sz val="9"/>
            <color indexed="81"/>
            <rFont val="Tahoma"/>
            <family val="2"/>
          </rPr>
          <t>KiB : kibibyte
https://en.wikipedia.org/wiki/Kibibyte</t>
        </r>
      </text>
    </comment>
    <comment ref="I27" authorId="0" shapeId="0" xr:uid="{1E2A0439-1B0C-45DC-A129-F4AA8024C53F}">
      <text>
        <r>
          <rPr>
            <b/>
            <sz val="9"/>
            <color indexed="81"/>
            <rFont val="Tahoma"/>
            <family val="2"/>
          </rPr>
          <t>KiB : mebibyte
https://en.wikipedia.org/wiki/Mebibyte</t>
        </r>
      </text>
    </comment>
    <comment ref="I28" authorId="0" shapeId="0" xr:uid="{29505BF7-1D4B-4DA6-9D9C-7465AD551A52}">
      <text>
        <r>
          <rPr>
            <b/>
            <sz val="9"/>
            <color indexed="81"/>
            <rFont val="Tahoma"/>
            <family val="2"/>
          </rPr>
          <t>KiB : gibibyte
https://en.wikipedia.org/wiki/Gibibyte</t>
        </r>
      </text>
    </comment>
    <comment ref="B29" authorId="0" shapeId="0" xr:uid="{D90CAA93-F00D-4EA1-AA89-45F0146BD1BF}">
      <text>
        <r>
          <rPr>
            <sz val="9"/>
            <color indexed="81"/>
            <rFont val="Tahoma"/>
            <family val="2"/>
          </rPr>
          <t>As shown in CloudWatch</t>
        </r>
      </text>
    </comment>
    <comment ref="I29" authorId="0" shapeId="0" xr:uid="{9797B3B2-A813-45A6-B672-8E2A5A8B15D9}">
      <text>
        <r>
          <rPr>
            <b/>
            <sz val="9"/>
            <color indexed="81"/>
            <rFont val="Tahoma"/>
            <family val="2"/>
          </rPr>
          <t>KiB : tebibyte
https://en.wikipedia.org/wiki/Tebibyte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Per Krarup</author>
  </authors>
  <commentList>
    <comment ref="I26" authorId="0" shapeId="0" xr:uid="{5378B492-8039-4BC8-B6A3-89C258B4A52B}">
      <text>
        <r>
          <rPr>
            <b/>
            <sz val="9"/>
            <color indexed="81"/>
            <rFont val="Tahoma"/>
            <family val="2"/>
          </rPr>
          <t>KiB : kibibyte
https://en.wikipedia.org/wiki/Kibibyte</t>
        </r>
      </text>
    </comment>
    <comment ref="I27" authorId="0" shapeId="0" xr:uid="{02E9F1ED-7622-4601-8525-6701371A1D03}">
      <text>
        <r>
          <rPr>
            <b/>
            <sz val="9"/>
            <color rgb="FF000000"/>
            <rFont val="Tahoma"/>
            <family val="2"/>
          </rPr>
          <t xml:space="preserve">KiB : mebibyte
</t>
        </r>
        <r>
          <rPr>
            <b/>
            <sz val="9"/>
            <color rgb="FF000000"/>
            <rFont val="Tahoma"/>
            <family val="2"/>
          </rPr>
          <t>https://en.wikipedia.org/wiki/Mebibyte</t>
        </r>
      </text>
    </comment>
    <comment ref="I28" authorId="0" shapeId="0" xr:uid="{D7D724B2-EBDD-4AC1-8DB1-E3F56F052446}">
      <text>
        <r>
          <rPr>
            <b/>
            <sz val="9"/>
            <color rgb="FF000000"/>
            <rFont val="Tahoma"/>
            <family val="2"/>
          </rPr>
          <t xml:space="preserve">KiB : gibibyte
</t>
        </r>
        <r>
          <rPr>
            <b/>
            <sz val="9"/>
            <color rgb="FF000000"/>
            <rFont val="Tahoma"/>
            <family val="2"/>
          </rPr>
          <t>https://en.wikipedia.org/wiki/Gibibyte</t>
        </r>
      </text>
    </comment>
    <comment ref="B29" authorId="0" shapeId="0" xr:uid="{F332EF8C-6339-40F8-9C0A-56333874E162}">
      <text>
        <r>
          <rPr>
            <sz val="9"/>
            <color indexed="81"/>
            <rFont val="Tahoma"/>
            <family val="2"/>
          </rPr>
          <t>As shown in CloudWatch</t>
        </r>
      </text>
    </comment>
    <comment ref="I29" authorId="0" shapeId="0" xr:uid="{42AD9A63-CBFB-4A49-9B5B-C8F8CCA4701D}">
      <text>
        <r>
          <rPr>
            <b/>
            <sz val="9"/>
            <color indexed="81"/>
            <rFont val="Tahoma"/>
            <family val="2"/>
          </rPr>
          <t>KiB : tebibyte
https://en.wikipedia.org/wiki/Tebibyte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<sst xmlns="http://schemas.openxmlformats.org/spreadsheetml/2006/main" count="657" uniqueCount="358">
  <si>
    <t>GiB/hour</t>
  </si>
  <si>
    <t>GiB/day</t>
  </si>
  <si>
    <t>GiB/month</t>
  </si>
  <si>
    <t>MiB/s</t>
  </si>
  <si>
    <t>GiB/week</t>
  </si>
  <si>
    <t>MB/s</t>
  </si>
  <si>
    <t>GB/hour</t>
  </si>
  <si>
    <t>GB/day</t>
  </si>
  <si>
    <t>GB/week</t>
  </si>
  <si>
    <t>GB/month</t>
  </si>
  <si>
    <t>Gbit/s</t>
  </si>
  <si>
    <t>Mbit/s</t>
  </si>
  <si>
    <t>GiB/s</t>
  </si>
  <si>
    <t>TiB/hour</t>
  </si>
  <si>
    <t>TiB/day</t>
  </si>
  <si>
    <t>TiB/week</t>
  </si>
  <si>
    <t>TiB/month</t>
  </si>
  <si>
    <t>GB/s</t>
  </si>
  <si>
    <t>MiB &amp; GiB</t>
  </si>
  <si>
    <t>MB &amp; GB</t>
  </si>
  <si>
    <t>GiB &amp; TiB</t>
  </si>
  <si>
    <t>GB &amp; TB</t>
  </si>
  <si>
    <t>GB/min</t>
  </si>
  <si>
    <t>Network overhead:</t>
  </si>
  <si>
    <t>IOPS:</t>
  </si>
  <si>
    <t>TB/hour</t>
  </si>
  <si>
    <t>TB/day</t>
  </si>
  <si>
    <t>TB/week</t>
  </si>
  <si>
    <t>TB/month</t>
  </si>
  <si>
    <t>Sony HD</t>
  </si>
  <si>
    <t>StableFPS FHD</t>
  </si>
  <si>
    <t>H.264</t>
  </si>
  <si>
    <t>StableFPS 4K</t>
  </si>
  <si>
    <t>H.265</t>
  </si>
  <si>
    <t>I/O operations/s</t>
  </si>
  <si>
    <t>kB/KiB</t>
  </si>
  <si>
    <t>MB/MiB</t>
  </si>
  <si>
    <t>GB/GiB</t>
  </si>
  <si>
    <t>TB/TiB</t>
  </si>
  <si>
    <t>Retention:</t>
  </si>
  <si>
    <t>Hours</t>
  </si>
  <si>
    <t>1 camera:</t>
  </si>
  <si>
    <t>Cameras:</t>
  </si>
  <si>
    <t>per camera</t>
  </si>
  <si>
    <t>%</t>
  </si>
  <si>
    <t>Instance
Type</t>
  </si>
  <si>
    <t>Mbps</t>
  </si>
  <si>
    <t>EBS</t>
  </si>
  <si>
    <t>$/week</t>
  </si>
  <si>
    <t>GiB</t>
  </si>
  <si>
    <t>t3.medium</t>
  </si>
  <si>
    <t>t3.large</t>
  </si>
  <si>
    <t>c5.large</t>
  </si>
  <si>
    <t>c5.xlarge</t>
  </si>
  <si>
    <t>c5.2xlarge</t>
  </si>
  <si>
    <t>g4dn.4xlarge</t>
  </si>
  <si>
    <t>g4dn.xlarge</t>
  </si>
  <si>
    <t>g4dn.2xlarge</t>
  </si>
  <si>
    <t>VPN</t>
  </si>
  <si>
    <t>VPN data</t>
  </si>
  <si>
    <t>EC2</t>
  </si>
  <si>
    <t>Storage</t>
  </si>
  <si>
    <t>Total</t>
  </si>
  <si>
    <t>Recording:</t>
  </si>
  <si>
    <t>$/year</t>
  </si>
  <si>
    <t>$/day/camera</t>
  </si>
  <si>
    <t>VPC data</t>
  </si>
  <si>
    <t>T-GW-VPN</t>
  </si>
  <si>
    <t>T-GW-VPC</t>
  </si>
  <si>
    <t>of received</t>
  </si>
  <si>
    <t>of recorded</t>
  </si>
  <si>
    <t>$/year/camera</t>
  </si>
  <si>
    <t>site-&gt;VPC</t>
  </si>
  <si>
    <t>VPC-&gt;site</t>
  </si>
  <si>
    <t>Live-view:</t>
  </si>
  <si>
    <t>Playback:</t>
  </si>
  <si>
    <t>Archiving:</t>
  </si>
  <si>
    <t>Calculated AWS Cost (w. transit-GW)</t>
  </si>
  <si>
    <t>Cameras Recording Percentage</t>
  </si>
  <si>
    <t>Cameras</t>
  </si>
  <si>
    <t>Camera count at 100% archiving</t>
  </si>
  <si>
    <t>without archiving</t>
  </si>
  <si>
    <t>Simple Storage Service (buckets)</t>
  </si>
  <si>
    <t xml:space="preserve">EC2 : </t>
  </si>
  <si>
    <t xml:space="preserve">S3 : </t>
  </si>
  <si>
    <t>Elastic Block Store (SSD)</t>
  </si>
  <si>
    <t xml:space="preserve">EBS : </t>
  </si>
  <si>
    <t>Elastic Compute Cloud (VMs)</t>
  </si>
  <si>
    <t>EC2 instance</t>
  </si>
  <si>
    <t>TiB</t>
  </si>
  <si>
    <t>Live storage:</t>
  </si>
  <si>
    <t>Arc. storage:</t>
  </si>
  <si>
    <t>FSx for Windows File Server (SSD or HDD)</t>
  </si>
  <si>
    <t>S-GW cache:</t>
  </si>
  <si>
    <t xml:space="preserve">FSx : </t>
  </si>
  <si>
    <t>Region</t>
  </si>
  <si>
    <t>Single-AZ</t>
  </si>
  <si>
    <t>Multi-AZ</t>
  </si>
  <si>
    <t>Throughput</t>
  </si>
  <si>
    <t>MBps-months</t>
  </si>
  <si>
    <t>Throughput Selections</t>
  </si>
  <si>
    <t>Number of cameras</t>
  </si>
  <si>
    <t>Size of recorded video stream</t>
  </si>
  <si>
    <t>Degree of recording</t>
  </si>
  <si>
    <t xml:space="preserve">VMS Usage </t>
  </si>
  <si>
    <t>Number of operators</t>
  </si>
  <si>
    <t>Enter how many operators that will use the system via the XProtect Smart Client</t>
  </si>
  <si>
    <t>Average number of viewed cameras</t>
  </si>
  <si>
    <t>Operator(s)</t>
  </si>
  <si>
    <t>Retention time</t>
  </si>
  <si>
    <t>Client access</t>
  </si>
  <si>
    <t>Select the type of client access that you are planning to use.</t>
  </si>
  <si>
    <t>Days</t>
  </si>
  <si>
    <t>Weeks</t>
  </si>
  <si>
    <t>Months</t>
  </si>
  <si>
    <t>Select unit</t>
  </si>
  <si>
    <t>Selected:</t>
  </si>
  <si>
    <t>Number of streams</t>
  </si>
  <si>
    <t>Select number of video streams</t>
  </si>
  <si>
    <t>Select client access</t>
  </si>
  <si>
    <t>Smart Client</t>
  </si>
  <si>
    <t>Smart Client in AppStream 2.0</t>
  </si>
  <si>
    <t>EC2 Instance type</t>
  </si>
  <si>
    <t>EBS for VMS configuration database</t>
  </si>
  <si>
    <t>EBS for live media database</t>
  </si>
  <si>
    <t>FSx for media archive</t>
  </si>
  <si>
    <t>Select degree of recording</t>
  </si>
  <si>
    <t>USD</t>
  </si>
  <si>
    <t>VPC egress data</t>
  </si>
  <si>
    <t>FSx storage</t>
  </si>
  <si>
    <t>Select FSx deployment</t>
  </si>
  <si>
    <t>Single-AZ deployment</t>
  </si>
  <si>
    <t>Multi-AZ deployment</t>
  </si>
  <si>
    <t>Pricing</t>
  </si>
  <si>
    <t>AWS Region</t>
  </si>
  <si>
    <t>Select Region</t>
  </si>
  <si>
    <t>US East (N. Virginia)</t>
  </si>
  <si>
    <t>Europe (Irland)</t>
  </si>
  <si>
    <t>EC2 payment plan</t>
  </si>
  <si>
    <t>Select payment plan for EC2</t>
  </si>
  <si>
    <t>Select payment plan</t>
  </si>
  <si>
    <t>On-demand</t>
  </si>
  <si>
    <t>RI Standard 3-year term, no upfront payment</t>
  </si>
  <si>
    <t>Cost per month</t>
  </si>
  <si>
    <t>Instance Type</t>
  </si>
  <si>
    <t>AppStream 2.0</t>
  </si>
  <si>
    <t>Read column</t>
  </si>
  <si>
    <t>Conversion</t>
  </si>
  <si>
    <t>Time factor</t>
  </si>
  <si>
    <t>Site-to-Site VPN</t>
  </si>
  <si>
    <t>Egress</t>
  </si>
  <si>
    <t>VPN Connection</t>
  </si>
  <si>
    <t>AppStream_User</t>
  </si>
  <si>
    <t>Average daily usage time per operator</t>
  </si>
  <si>
    <t>Select region for deployment</t>
  </si>
  <si>
    <t>Data per viewing hour</t>
  </si>
  <si>
    <t>GB/h</t>
  </si>
  <si>
    <t>Including communication overhead 8%</t>
  </si>
  <si>
    <t>Total egress price</t>
  </si>
  <si>
    <t>USD/month</t>
  </si>
  <si>
    <t>Transmitted data per month</t>
  </si>
  <si>
    <t>Mbit/View/s</t>
  </si>
  <si>
    <t>SC</t>
  </si>
  <si>
    <t>Adaptive Streaming</t>
  </si>
  <si>
    <t>Reduction</t>
  </si>
  <si>
    <t>Data  per camera view</t>
  </si>
  <si>
    <t>-</t>
  </si>
  <si>
    <t>No access</t>
  </si>
  <si>
    <t>Instance</t>
  </si>
  <si>
    <t>stream.graphics.g4dn.xlarge</t>
  </si>
  <si>
    <t>stream.graphics.g4dn.4xlarge</t>
  </si>
  <si>
    <t>AppStream instance type</t>
  </si>
  <si>
    <t>Streaming hours</t>
  </si>
  <si>
    <t>Streaming costs</t>
  </si>
  <si>
    <t>GBps</t>
  </si>
  <si>
    <t>FSx Throughput price</t>
  </si>
  <si>
    <t>EC2 - Compute</t>
  </si>
  <si>
    <t>EBS -Storage</t>
  </si>
  <si>
    <t>FSx -Storage</t>
  </si>
  <si>
    <t>Multi Availability Zone archiving</t>
  </si>
  <si>
    <t>Select if FSx video archive shall be single or multi availability zone deployment</t>
  </si>
  <si>
    <t>Select the number of cameras that best matches the expected number of cameras each operator will view at the same time.</t>
  </si>
  <si>
    <t>Total monthly cost:</t>
  </si>
  <si>
    <t xml:space="preserve">Price calculator for deploying Milestone XProtect BYOL on AWS </t>
  </si>
  <si>
    <t>VMS Dimensioning Parameters</t>
  </si>
  <si>
    <t>Enter how many cameras you plan to connect to your XProtect VMS system</t>
  </si>
  <si>
    <t>Enter the assumed average size of the H.264 video stream used for recording</t>
  </si>
  <si>
    <t>Select the % recoding you expect the system to do. Select the closed value</t>
  </si>
  <si>
    <t>Specify how long time you plan to retain video recordings for</t>
  </si>
  <si>
    <t>Total yearly cost:</t>
  </si>
  <si>
    <t>Monthly cost per camera</t>
  </si>
  <si>
    <t>Yearly cost per camera</t>
  </si>
  <si>
    <t>Time in Media DB</t>
  </si>
  <si>
    <t>IOPS</t>
  </si>
  <si>
    <t>Archive Margine</t>
  </si>
  <si>
    <t>Media DB</t>
  </si>
  <si>
    <t>Archive</t>
  </si>
  <si>
    <t>Media Database</t>
  </si>
  <si>
    <t>Media Archive</t>
  </si>
  <si>
    <t>GiB EBS (gp2) storage</t>
  </si>
  <si>
    <t>TiB FSx storage</t>
  </si>
  <si>
    <t>EBS for media database</t>
  </si>
  <si>
    <t>Customized storage sizes</t>
  </si>
  <si>
    <t>Specify desired size of media database (EBS gp2) storage</t>
  </si>
  <si>
    <t>Specify desired size of media archive (FSX) storage</t>
  </si>
  <si>
    <t>Media_Database</t>
  </si>
  <si>
    <t>Connectivity</t>
  </si>
  <si>
    <t xml:space="preserve">Uplink </t>
  </si>
  <si>
    <t xml:space="preserve">Downlink </t>
  </si>
  <si>
    <t>Downlink</t>
  </si>
  <si>
    <t>Client Access</t>
  </si>
  <si>
    <t>Gbps</t>
  </si>
  <si>
    <t>Number of sites</t>
  </si>
  <si>
    <t>Site(s)</t>
  </si>
  <si>
    <t>Outbound Data Transfer</t>
  </si>
  <si>
    <t>Enter how many sites that are to be connected to the XProtect VMS system</t>
  </si>
  <si>
    <t>For complete pricing information on AWS service please refer to www.aws.com.</t>
  </si>
  <si>
    <t>Calculated storage needs</t>
  </si>
  <si>
    <t>Based on the provided VMS dimensioning  parameters the following storage will as minimum be required:</t>
  </si>
  <si>
    <t xml:space="preserve">Do you want to proceed with the calculated storage sizes or do you want to provide customer specific sizes? </t>
  </si>
  <si>
    <t>Data throughput</t>
  </si>
  <si>
    <t>Based on the provided VMS dimensioning  parameters the following network throughput will be generated:</t>
  </si>
  <si>
    <t>Smart Client with Adaptive Streaming</t>
  </si>
  <si>
    <t>Single-AZ_Throughput</t>
  </si>
  <si>
    <t>Multi-AZ_Throughput</t>
  </si>
  <si>
    <t>Europe (Ireland)</t>
  </si>
  <si>
    <t>Retention Unit</t>
  </si>
  <si>
    <t>Write throughput</t>
  </si>
  <si>
    <t>Total throughput</t>
  </si>
  <si>
    <t>Allocated throughput</t>
  </si>
  <si>
    <t>Number of attachments</t>
  </si>
  <si>
    <t>Downlink throughput (worse case)</t>
  </si>
  <si>
    <t>Data Transfer Out - Networking</t>
  </si>
  <si>
    <t>Form Check</t>
  </si>
  <si>
    <t>EC2 Paument</t>
  </si>
  <si>
    <t>Number of Cameras</t>
  </si>
  <si>
    <t>Stream Size</t>
  </si>
  <si>
    <t>Degree of Recording</t>
  </si>
  <si>
    <t>Retention Time</t>
  </si>
  <si>
    <t>FSx AZ</t>
  </si>
  <si>
    <t>No_Operators</t>
  </si>
  <si>
    <t>Daily Usage</t>
  </si>
  <si>
    <t>No of Streams</t>
  </si>
  <si>
    <t>No_Sites</t>
  </si>
  <si>
    <t>All input data provided</t>
  </si>
  <si>
    <t xml:space="preserve">Enter how many hours you expect each operator will view video from the VMS system on average. </t>
  </si>
  <si>
    <t>Enter how many hours you expect each operator will view video from the VMS system on average. This may be both live viewing and playback. Streams assumed to be H.264 with 1080p resolution (4 Mbps) and 30 frames per second.</t>
  </si>
  <si>
    <t>Select the degree of recoding you expect the system to do.</t>
  </si>
  <si>
    <t>Site-to-Site - Networking</t>
  </si>
  <si>
    <t>This AWS service calculator is provided as is, and it is only intended to give an indicative service usage and cost estimation for running Milestone XProtect on AWS. Milestone Systems does not accept any direct or indirect liability for the results provided by this calculator, including suggested AWS service configuration and AWS Service price information.</t>
  </si>
  <si>
    <t>Storage input provided</t>
  </si>
  <si>
    <t>Customer Media DB</t>
  </si>
  <si>
    <t>Customer Archive</t>
  </si>
  <si>
    <t>Error Message</t>
  </si>
  <si>
    <t>10% Recording</t>
  </si>
  <si>
    <t>25% Recording</t>
  </si>
  <si>
    <t>50% Recording</t>
  </si>
  <si>
    <t>100% Recording</t>
  </si>
  <si>
    <t>Weighted number of cameras</t>
  </si>
  <si>
    <t>EC2 Instance</t>
  </si>
  <si>
    <t>No Match</t>
  </si>
  <si>
    <t>EC2 input provided</t>
  </si>
  <si>
    <t>Access</t>
  </si>
  <si>
    <t xml:space="preserve">Price calculator for deploying Surveillance Bridge BYOL on AWS </t>
  </si>
  <si>
    <t>S3 Storage Calculation</t>
  </si>
  <si>
    <t>Total Retention Time</t>
  </si>
  <si>
    <t>Immediate Tier</t>
  </si>
  <si>
    <t>Specify the Immediate Access Tier</t>
  </si>
  <si>
    <t>Archive Tier</t>
  </si>
  <si>
    <t>On-premises</t>
  </si>
  <si>
    <t>Enter the percentage of recording servers that are on-premises (0% if all in the cloud)</t>
  </si>
  <si>
    <t>.blk File Size</t>
  </si>
  <si>
    <t>Enter the size of Milestone blk files</t>
  </si>
  <si>
    <t>Cost per TB</t>
  </si>
  <si>
    <t>This AWS service calculator is provided as is, and it is only intended to give an indicative service usage and cost estimation for running Milestone XProtect on AWS. Milestone Systems and Tiger Surveillance do not accept any direct or indirect liability for the results provided by this calculator, including suggested AWS service configuration and AWS Service price information.</t>
  </si>
  <si>
    <t>Total Retention</t>
  </si>
  <si>
    <t>Table_Split</t>
  </si>
  <si>
    <t>hr</t>
  </si>
  <si>
    <t>Number of folders</t>
  </si>
  <si>
    <t>folders</t>
  </si>
  <si>
    <t>AWS</t>
  </si>
  <si>
    <t>Storage Class1</t>
  </si>
  <si>
    <t>PUT, COPY, POST, LIST operations</t>
  </si>
  <si>
    <t>GET, SELECT, other operations</t>
  </si>
  <si>
    <t>Retrieval requests</t>
  </si>
  <si>
    <t>Lifecycle Transition operation</t>
  </si>
  <si>
    <t>Minimum stay</t>
  </si>
  <si>
    <t>(per 10,000 operations)</t>
  </si>
  <si>
    <t>(per 1,000 operations)</t>
  </si>
  <si>
    <t>per GB per month</t>
  </si>
  <si>
    <t>Select Immediate Tier</t>
  </si>
  <si>
    <t>On premises Egress (Internet)</t>
  </si>
  <si>
    <t>Select Archive Tier</t>
  </si>
  <si>
    <t>Selection Hot</t>
  </si>
  <si>
    <t>Selection Archive</t>
  </si>
  <si>
    <t>Surveillance Bridge Operations</t>
  </si>
  <si>
    <t>Replicate file (ID format)</t>
  </si>
  <si>
    <t>Replicate file (PATH format)</t>
  </si>
  <si>
    <t>Replicate folder</t>
  </si>
  <si>
    <t>Restore file chunk or entire file (ID format)</t>
  </si>
  <si>
    <t>Restore chunk or entire file (PATH format)</t>
  </si>
  <si>
    <t>Make file offline (ID format)</t>
  </si>
  <si>
    <t>File delete</t>
  </si>
  <si>
    <t>Selected Region</t>
  </si>
  <si>
    <t>Offset</t>
  </si>
  <si>
    <t>MB</t>
  </si>
  <si>
    <t>GB</t>
  </si>
  <si>
    <t>TB</t>
  </si>
  <si>
    <t>PB</t>
  </si>
  <si>
    <t>Total # files</t>
  </si>
  <si>
    <t># operations
 / 10,000</t>
  </si>
  <si>
    <t>Storage usage</t>
  </si>
  <si>
    <t xml:space="preserve">Total
 Storage (GB) </t>
  </si>
  <si>
    <t>Milestone</t>
  </si>
  <si>
    <t>Operations</t>
  </si>
  <si>
    <t>Immediate</t>
  </si>
  <si>
    <t>File size</t>
  </si>
  <si>
    <t>Minimum stay multiplier</t>
  </si>
  <si>
    <t>Data Storage</t>
  </si>
  <si>
    <t>Retrieval</t>
  </si>
  <si>
    <t>Total Folders</t>
  </si>
  <si>
    <t>Usage</t>
  </si>
  <si>
    <t>Total Storage (GB)</t>
  </si>
  <si>
    <t>S3 Glacier - Bulk</t>
  </si>
  <si>
    <t>Check before delete</t>
  </si>
  <si>
    <t>Yes</t>
  </si>
  <si>
    <t>No</t>
  </si>
  <si>
    <t>Chart</t>
  </si>
  <si>
    <t>Percentage of playback</t>
  </si>
  <si>
    <t>Average Daily Usage</t>
  </si>
  <si>
    <t>Average Number of Camera Viewed</t>
  </si>
  <si>
    <t>Total hours recorded</t>
  </si>
  <si>
    <t>Total hours of playback</t>
  </si>
  <si>
    <t>Connector</t>
  </si>
  <si>
    <t>Milestone Provides</t>
  </si>
  <si>
    <t>&lt;&lt; -- &gt;&gt;</t>
  </si>
  <si>
    <t>Tiger Uses</t>
  </si>
  <si>
    <t>hours</t>
  </si>
  <si>
    <t>Total_Days</t>
  </si>
  <si>
    <t>days</t>
  </si>
  <si>
    <t xml:space="preserve"> Time in Media DB </t>
  </si>
  <si>
    <t>Media DB Storage</t>
  </si>
  <si>
    <t>#Cameras</t>
  </si>
  <si>
    <t>cameras</t>
  </si>
  <si>
    <t>operators</t>
  </si>
  <si>
    <t>views</t>
  </si>
  <si>
    <t>Total monthly cost (S3 storage only):</t>
  </si>
  <si>
    <t>Total yearly cost (S3 storage only):</t>
  </si>
  <si>
    <t>S3 Glacier - FR - Expedited [min. stay 90 days / sla 5 min]</t>
  </si>
  <si>
    <t>S3 Glacier - FR - Standard [min. stay 90 days / sla 3-5 hrs]</t>
  </si>
  <si>
    <t>S3 Glacier - FR- Bulk [min. stay 90 days / sla 5-12 hrs]</t>
  </si>
  <si>
    <t>S3 Glacier Deep Archive - Std. [min. stay 180 days / sla 12 hrs]</t>
  </si>
  <si>
    <t>S3 Glacier Deep Archive - Bulk [min. stay 180 days / sla 48 hrs]</t>
  </si>
  <si>
    <t>S3 Glacier - IR [min. stay 90 days / instant]</t>
  </si>
  <si>
    <t>S3 Standard - IA [min. stay 30 days / instant]</t>
  </si>
  <si>
    <t>S3 Standard (min. stay 0 days / instant)</t>
  </si>
  <si>
    <t>Total Storage Capacity</t>
  </si>
  <si>
    <t>Average cost per 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</si>
</sst>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quot;* #,##0.00_);_(&quot;$&quot;* \(#,##0.00\);_(&quot;$&quot;* &quot;-&quot;??_);_(@_)"/>
    <numFmt numFmtId="164" formatCode="_-* #,##0.00_-;\-* #,##0.00_-;_-* &quot;-&quot;??_-;_-@_-"/>
    <numFmt numFmtId="165" formatCode="_-* #,##0.0_-;\-* #,##0.0_-;_-* &quot;-&quot;??_-;_-@_-"/>
    <numFmt numFmtId="166" formatCode="_-* #,##0_-;\-* #,##0_-;_-* &quot;-&quot;??_-;_-@_-"/>
    <numFmt numFmtId="167" formatCode="_-* #,##0.0000_-;\-* #,##0.0000_-;_-* &quot;-&quot;??_-;_-@_-"/>
    <numFmt numFmtId="168" formatCode="0.0"/>
    <numFmt numFmtId="169" formatCode="0.000"/>
    <numFmt numFmtId="170" formatCode="0.0%"/>
    <numFmt numFmtId="171" formatCode="_-* #,##0.00\ _k_r_._-;\-* #,##0.00\ _k_r_._-;_-* &quot;-&quot;??\ _k_r_._-;_-@_-"/>
    <numFmt numFmtId="172" formatCode="0\ &quot;Days&quot;"/>
    <numFmt numFmtId="173" formatCode="0\ &quot;MB&quot;"/>
    <numFmt numFmtId="174" formatCode="_(&quot;$&quot;* #,##0.000_);_(&quot;$&quot;* \(#,##0.000\);_(&quot;$&quot;* &quot;-&quot;??_);_(@_)"/>
    <numFmt numFmtId="175" formatCode="0\ &quot;days&quot;"/>
    <numFmt numFmtId="176" formatCode="&quot;$&quot;#,##0.0000_);[Red]\(&quot;$&quot;#,##0.0000\)"/>
    <numFmt numFmtId="177" formatCode="0\ &quot;TiB&quot;"/>
  </numFmts>
  <fonts count="49" x14ac:knownFonts="1">
    <font>
      <sz val="11"/>
      <color theme="1"/>
      <name val="Calibri"/>
      <family val="2"/>
      <scheme val="minor"/>
    </font>
    <font>
      <sz val="12"/>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indexed="81"/>
      <name val="Tahoma"/>
      <family val="2"/>
    </font>
    <font>
      <b/>
      <sz val="9"/>
      <color indexed="81"/>
      <name val="Tahoma"/>
      <family val="2"/>
    </font>
    <font>
      <sz val="9"/>
      <color theme="1"/>
      <name val="Calibri"/>
      <family val="2"/>
      <scheme val="minor"/>
    </font>
    <font>
      <sz val="11"/>
      <name val="Calibri"/>
      <family val="2"/>
      <scheme val="minor"/>
    </font>
    <font>
      <sz val="11"/>
      <color theme="0" tint="-0.249977111117893"/>
      <name val="Calibri"/>
      <family val="2"/>
      <scheme val="minor"/>
    </font>
    <font>
      <sz val="11"/>
      <color theme="1"/>
      <name val="Open Sans"/>
      <family val="2"/>
    </font>
    <font>
      <b/>
      <sz val="11"/>
      <color theme="1"/>
      <name val="Open Sans"/>
      <family val="2"/>
    </font>
    <font>
      <sz val="10"/>
      <color theme="1"/>
      <name val="Open Sans"/>
      <family val="2"/>
    </font>
    <font>
      <sz val="9"/>
      <color theme="1"/>
      <name val="Open Sans"/>
      <family val="2"/>
    </font>
    <font>
      <b/>
      <sz val="14"/>
      <color theme="1"/>
      <name val="Open Sans Light"/>
      <family val="2"/>
    </font>
    <font>
      <b/>
      <sz val="9"/>
      <color theme="1"/>
      <name val="Open Sans"/>
      <family val="2"/>
    </font>
    <font>
      <b/>
      <sz val="8"/>
      <color theme="1"/>
      <name val="Open Sans"/>
      <family val="2"/>
    </font>
    <font>
      <sz val="8"/>
      <color theme="1" tint="0.499984740745262"/>
      <name val="Open Sans"/>
      <family val="2"/>
    </font>
    <font>
      <sz val="8"/>
      <color theme="1"/>
      <name val="Open Sans"/>
      <family val="2"/>
    </font>
    <font>
      <i/>
      <sz val="8"/>
      <color theme="1"/>
      <name val="Open Sans"/>
      <family val="2"/>
    </font>
    <font>
      <sz val="11"/>
      <color theme="4"/>
      <name val="Calibri"/>
      <family val="2"/>
      <scheme val="minor"/>
    </font>
    <font>
      <sz val="8"/>
      <color rgb="FF000000"/>
      <name val="Segoe UI"/>
      <charset val="1"/>
    </font>
    <font>
      <b/>
      <sz val="9"/>
      <color rgb="FF000000"/>
      <name val="Tahoma"/>
      <family val="2"/>
    </font>
    <font>
      <b/>
      <sz val="9"/>
      <color theme="1"/>
      <name val="Open Sans"/>
    </font>
    <font>
      <sz val="12"/>
      <color theme="1"/>
      <name val="Arial"/>
      <family val="2"/>
    </font>
    <font>
      <sz val="8"/>
      <color theme="1"/>
      <name val="Calibri"/>
      <family val="2"/>
      <scheme val="minor"/>
    </font>
    <font>
      <b/>
      <sz val="9"/>
      <color theme="1"/>
      <name val="Calibri"/>
      <family val="2"/>
      <scheme val="minor"/>
    </font>
    <font>
      <b/>
      <sz val="12"/>
      <color theme="1"/>
      <name val="Open Sans"/>
      <family val="2"/>
    </font>
    <font>
      <b/>
      <sz val="14"/>
      <color theme="1"/>
      <name val="Calibri"/>
      <family val="2"/>
      <scheme val="minor"/>
    </font>
    <font>
      <b/>
      <sz val="12"/>
      <color theme="0"/>
      <name val="Calibri"/>
      <family val="2"/>
      <scheme val="minor"/>
    </font>
    <font>
      <b/>
      <sz val="12"/>
      <color theme="1"/>
      <name val="Calibri"/>
      <family val="2"/>
      <scheme val="minor"/>
    </font>
    <font>
      <sz val="11"/>
      <color rgb="FF000000"/>
      <name val="Calibri"/>
      <family val="2"/>
    </font>
    <font>
      <sz val="11"/>
      <color theme="0"/>
      <name val="Calibri"/>
      <family val="2"/>
    </font>
    <font>
      <sz val="12"/>
      <color theme="2" tint="-0.249977111117893"/>
      <name val="Calibri"/>
      <family val="2"/>
      <scheme val="minor"/>
    </font>
    <font>
      <u/>
      <sz val="12"/>
      <color theme="10"/>
      <name val="Calibri"/>
      <family val="2"/>
      <scheme val="minor"/>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9" tint="0.59999389629810485"/>
        <bgColor indexed="64"/>
      </patternFill>
    </fill>
    <fill>
      <patternFill patternType="solid">
        <fgColor theme="9" tint="0.79998168889431442"/>
        <bgColor theme="9" tint="0.79998168889431442"/>
      </patternFill>
    </fill>
    <fill>
      <patternFill patternType="solid">
        <fgColor theme="9"/>
        <bgColor theme="9"/>
      </patternFill>
    </fill>
    <fill>
      <patternFill patternType="solid">
        <fgColor rgb="FFFFFF00"/>
        <bgColor theme="9"/>
      </patternFill>
    </fill>
    <fill>
      <patternFill patternType="solid">
        <fgColor theme="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9.9978637043366805E-2"/>
        <bgColor indexed="64"/>
      </patternFill>
    </fill>
    <fill>
      <patternFill patternType="solid">
        <fgColor rgb="FF0070C0"/>
        <bgColor indexed="64"/>
      </patternFill>
    </fill>
  </fills>
  <borders count="5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theme="9" tint="0.39997558519241921"/>
      </right>
      <top style="thin">
        <color theme="9" tint="0.39997558519241921"/>
      </top>
      <bottom style="thin">
        <color theme="9" tint="0.3999755851924192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9" tint="0.39997558519241921"/>
      </right>
      <top style="thin">
        <color theme="9" tint="0.39997558519241921"/>
      </top>
      <bottom/>
      <diagonal/>
    </border>
    <border>
      <left style="thin">
        <color theme="9" tint="0.39997558519241921"/>
      </left>
      <right/>
      <top style="thin">
        <color theme="9" tint="0.39997558519241921"/>
      </top>
      <bottom style="thin">
        <color theme="9" tint="0.39997558519241921"/>
      </bottom>
      <diagonal/>
    </border>
    <border>
      <left/>
      <right style="thin">
        <color indexed="64"/>
      </right>
      <top/>
      <bottom style="thin">
        <color theme="9" tint="0.39997558519241921"/>
      </bottom>
      <diagonal/>
    </border>
    <border>
      <left/>
      <right/>
      <top style="thin">
        <color indexed="64"/>
      </top>
      <bottom/>
      <diagonal/>
    </border>
    <border>
      <left/>
      <right/>
      <top/>
      <bottom style="thin">
        <color indexed="64"/>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top/>
      <bottom/>
      <diagonal/>
    </border>
    <border>
      <left/>
      <right/>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1"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2" tint="-0.249977111117893"/>
      </left>
      <right/>
      <top style="thin">
        <color theme="2" tint="-0.249977111117893"/>
      </top>
      <bottom/>
      <diagonal/>
    </border>
    <border>
      <left/>
      <right/>
      <top style="thin">
        <color theme="2" tint="-0.249977111117893"/>
      </top>
      <bottom/>
      <diagonal/>
    </border>
    <border>
      <left/>
      <right style="thin">
        <color theme="2" tint="-0.249977111117893"/>
      </right>
      <top style="thin">
        <color theme="2" tint="-0.249977111117893"/>
      </top>
      <bottom/>
      <diagonal/>
    </border>
    <border>
      <left style="thin">
        <color theme="2" tint="-0.249977111117893"/>
      </left>
      <right/>
      <top/>
      <bottom/>
      <diagonal/>
    </border>
    <border>
      <left/>
      <right style="thin">
        <color theme="2" tint="-0.249977111117893"/>
      </right>
      <top/>
      <bottom/>
      <diagonal/>
    </border>
    <border>
      <left style="thin">
        <color theme="2" tint="-0.249977111117893"/>
      </left>
      <right style="thin">
        <color theme="1" tint="0.34998626667073579"/>
      </right>
      <top/>
      <bottom/>
      <diagonal/>
    </border>
    <border>
      <left style="thin">
        <color theme="2" tint="-0.249977111117893"/>
      </left>
      <right/>
      <top/>
      <bottom style="thin">
        <color theme="2" tint="-0.249977111117893"/>
      </bottom>
      <diagonal/>
    </border>
    <border>
      <left/>
      <right/>
      <top/>
      <bottom style="thin">
        <color theme="2" tint="-0.249977111117893"/>
      </bottom>
      <diagonal/>
    </border>
    <border>
      <left/>
      <right style="thin">
        <color theme="2" tint="-0.249977111117893"/>
      </right>
      <top/>
      <bottom style="thin">
        <color theme="2" tint="-0.249977111117893"/>
      </bottom>
      <diagonal/>
    </border>
    <border>
      <left/>
      <right/>
      <top/>
      <bottom style="thin">
        <color theme="9" tint="0.39997558519241921"/>
      </bottom>
      <diagonal/>
    </border>
    <border>
      <left/>
      <right/>
      <top/>
      <bottom style="double">
        <color indexed="64"/>
      </bottom>
      <diagonal/>
    </border>
    <border>
      <left style="thin">
        <color indexed="64"/>
      </left>
      <right style="thin">
        <color indexed="64"/>
      </right>
      <top/>
      <bottom/>
      <diagonal/>
    </border>
  </borders>
  <cellStyleXfs count="46">
    <xf numFmtId="0" fontId="0" fillId="0" borderId="0"/>
    <xf numFmtId="164" fontId="2" fillId="0" borderId="0" applyFont="0" applyFill="0" applyBorder="0" applyAlignment="0" applyProtection="0"/>
    <xf numFmtId="9" fontId="2" fillId="0" borderId="0" applyFont="0" applyFill="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44" fontId="2" fillId="0" borderId="0" applyFont="0" applyFill="0" applyBorder="0" applyAlignment="0" applyProtection="0"/>
    <xf numFmtId="0" fontId="48" fillId="0" borderId="0" applyNumberFormat="0" applyFill="0" applyBorder="0" applyAlignment="0" applyProtection="0"/>
  </cellStyleXfs>
  <cellXfs count="273">
    <xf numFmtId="0" fontId="0" fillId="0" borderId="0" xfId="0"/>
    <xf numFmtId="0" fontId="17" fillId="0" borderId="0" xfId="0" applyFont="1"/>
    <xf numFmtId="164" fontId="0" fillId="0" borderId="0" xfId="1" applyFont="1"/>
    <xf numFmtId="166" fontId="0" fillId="0" borderId="0" xfId="1" applyNumberFormat="1" applyFont="1"/>
    <xf numFmtId="0" fontId="0" fillId="0" borderId="11" xfId="0" applyBorder="1"/>
    <xf numFmtId="165" fontId="0" fillId="0" borderId="12" xfId="1" applyNumberFormat="1" applyFont="1" applyBorder="1"/>
    <xf numFmtId="0" fontId="0" fillId="0" borderId="13" xfId="0" applyBorder="1"/>
    <xf numFmtId="166" fontId="0" fillId="0" borderId="12" xfId="1" applyNumberFormat="1" applyFont="1" applyBorder="1"/>
    <xf numFmtId="166" fontId="0" fillId="0" borderId="14" xfId="1" applyNumberFormat="1" applyFont="1" applyBorder="1"/>
    <xf numFmtId="0" fontId="0" fillId="0" borderId="15" xfId="0" applyBorder="1"/>
    <xf numFmtId="165" fontId="0" fillId="0" borderId="10" xfId="1" applyNumberFormat="1" applyFont="1" applyBorder="1"/>
    <xf numFmtId="167" fontId="0" fillId="0" borderId="0" xfId="1" applyNumberFormat="1" applyFont="1"/>
    <xf numFmtId="165" fontId="0" fillId="0" borderId="14" xfId="1" applyNumberFormat="1" applyFont="1" applyBorder="1"/>
    <xf numFmtId="166" fontId="0" fillId="0" borderId="0" xfId="1" applyNumberFormat="1" applyFont="1" applyBorder="1"/>
    <xf numFmtId="9" fontId="0" fillId="33" borderId="0" xfId="2" applyFont="1" applyFill="1"/>
    <xf numFmtId="165" fontId="0" fillId="0" borderId="0" xfId="1" applyNumberFormat="1" applyFont="1" applyBorder="1"/>
    <xf numFmtId="164" fontId="0" fillId="0" borderId="0" xfId="1" applyFont="1" applyBorder="1"/>
    <xf numFmtId="0" fontId="0" fillId="0" borderId="10" xfId="0" applyBorder="1"/>
    <xf numFmtId="0" fontId="0" fillId="0" borderId="12" xfId="0" applyBorder="1"/>
    <xf numFmtId="0" fontId="0" fillId="0" borderId="14" xfId="0" applyBorder="1"/>
    <xf numFmtId="0" fontId="17" fillId="0" borderId="0" xfId="0" applyFont="1" applyAlignment="1">
      <alignment horizontal="center"/>
    </xf>
    <xf numFmtId="166" fontId="0" fillId="0" borderId="0" xfId="0" applyNumberFormat="1"/>
    <xf numFmtId="9" fontId="0" fillId="0" borderId="0" xfId="0" applyNumberFormat="1"/>
    <xf numFmtId="9" fontId="0" fillId="0" borderId="0" xfId="2" applyFont="1"/>
    <xf numFmtId="0" fontId="0" fillId="0" borderId="0" xfId="0" applyAlignment="1">
      <alignment horizontal="center"/>
    </xf>
    <xf numFmtId="168" fontId="0" fillId="0" borderId="0" xfId="0" applyNumberFormat="1"/>
    <xf numFmtId="164" fontId="17" fillId="0" borderId="22" xfId="1" applyFont="1" applyBorder="1"/>
    <xf numFmtId="0" fontId="0" fillId="0" borderId="23" xfId="0" applyBorder="1"/>
    <xf numFmtId="0" fontId="0" fillId="0" borderId="24" xfId="0" applyBorder="1"/>
    <xf numFmtId="166" fontId="0" fillId="0" borderId="25" xfId="1" applyNumberFormat="1" applyFont="1" applyBorder="1"/>
    <xf numFmtId="164" fontId="0" fillId="0" borderId="23" xfId="1" applyFont="1" applyBorder="1"/>
    <xf numFmtId="166" fontId="0" fillId="0" borderId="23" xfId="0" applyNumberFormat="1" applyBorder="1"/>
    <xf numFmtId="164" fontId="0" fillId="0" borderId="0" xfId="0" applyNumberFormat="1"/>
    <xf numFmtId="164" fontId="17" fillId="0" borderId="0" xfId="1" applyFont="1" applyAlignment="1">
      <alignment horizontal="right"/>
    </xf>
    <xf numFmtId="166" fontId="0" fillId="34" borderId="21" xfId="1" applyNumberFormat="1" applyFont="1" applyFill="1" applyBorder="1"/>
    <xf numFmtId="0" fontId="21" fillId="0" borderId="0" xfId="0" applyFont="1" applyAlignment="1">
      <alignment horizontal="center" vertical="center"/>
    </xf>
    <xf numFmtId="169" fontId="0" fillId="0" borderId="10" xfId="0" applyNumberFormat="1" applyBorder="1"/>
    <xf numFmtId="169" fontId="0" fillId="0" borderId="12" xfId="0" applyNumberFormat="1" applyBorder="1"/>
    <xf numFmtId="169" fontId="0" fillId="0" borderId="14" xfId="0" applyNumberFormat="1" applyBorder="1"/>
    <xf numFmtId="164" fontId="0" fillId="0" borderId="0" xfId="1" applyFont="1" applyAlignment="1">
      <alignment horizontal="left"/>
    </xf>
    <xf numFmtId="0" fontId="0" fillId="0" borderId="26" xfId="0" applyBorder="1"/>
    <xf numFmtId="0" fontId="0" fillId="35" borderId="26" xfId="0" applyFill="1" applyBorder="1"/>
    <xf numFmtId="166" fontId="0" fillId="34" borderId="0" xfId="1" applyNumberFormat="1" applyFont="1" applyFill="1"/>
    <xf numFmtId="0" fontId="14" fillId="38" borderId="20" xfId="0" applyFont="1" applyFill="1" applyBorder="1" applyAlignment="1">
      <alignment horizontal="center" wrapText="1"/>
    </xf>
    <xf numFmtId="166" fontId="0" fillId="33" borderId="0" xfId="1" applyNumberFormat="1" applyFont="1" applyFill="1" applyProtection="1">
      <protection locked="0"/>
    </xf>
    <xf numFmtId="164" fontId="0" fillId="33" borderId="0" xfId="1" applyFont="1" applyFill="1" applyProtection="1">
      <protection locked="0"/>
    </xf>
    <xf numFmtId="9" fontId="0" fillId="33" borderId="18" xfId="0" applyNumberFormat="1" applyFill="1" applyBorder="1" applyProtection="1">
      <protection locked="0"/>
    </xf>
    <xf numFmtId="166" fontId="0" fillId="33" borderId="19" xfId="1" applyNumberFormat="1" applyFont="1" applyFill="1" applyBorder="1" applyProtection="1">
      <protection locked="0"/>
    </xf>
    <xf numFmtId="9" fontId="0" fillId="33" borderId="0" xfId="0" applyNumberFormat="1" applyFill="1" applyProtection="1">
      <protection locked="0"/>
    </xf>
    <xf numFmtId="9" fontId="14" fillId="38" borderId="20" xfId="2" applyFont="1" applyFill="1" applyBorder="1" applyAlignment="1">
      <alignment horizontal="center" wrapText="1"/>
    </xf>
    <xf numFmtId="9" fontId="22" fillId="37" borderId="20" xfId="2" applyFont="1" applyFill="1" applyBorder="1" applyAlignment="1" applyProtection="1">
      <alignment horizontal="center" vertical="center" wrapText="1"/>
      <protection locked="0"/>
    </xf>
    <xf numFmtId="9" fontId="22" fillId="37" borderId="20" xfId="2" applyFont="1" applyFill="1" applyBorder="1" applyAlignment="1" applyProtection="1">
      <alignment horizontal="center" vertical="center" wrapText="1"/>
    </xf>
    <xf numFmtId="0" fontId="17" fillId="0" borderId="0" xfId="0" applyFont="1" applyAlignment="1">
      <alignment horizontal="right"/>
    </xf>
    <xf numFmtId="0" fontId="23" fillId="0" borderId="26" xfId="0" applyFont="1" applyBorder="1"/>
    <xf numFmtId="0" fontId="23" fillId="35" borderId="26" xfId="0" applyFont="1" applyFill="1" applyBorder="1"/>
    <xf numFmtId="164" fontId="0" fillId="0" borderId="10" xfId="1" applyFont="1" applyBorder="1" applyAlignment="1">
      <alignment horizontal="right"/>
    </xf>
    <xf numFmtId="165" fontId="0" fillId="0" borderId="28" xfId="1" applyNumberFormat="1" applyFont="1" applyFill="1" applyBorder="1"/>
    <xf numFmtId="0" fontId="0" fillId="0" borderId="28" xfId="0" applyBorder="1"/>
    <xf numFmtId="164" fontId="0" fillId="0" borderId="12" xfId="1" applyFont="1" applyBorder="1" applyAlignment="1">
      <alignment horizontal="right"/>
    </xf>
    <xf numFmtId="164" fontId="0" fillId="0" borderId="14" xfId="1" applyFont="1" applyBorder="1" applyAlignment="1">
      <alignment horizontal="right"/>
    </xf>
    <xf numFmtId="0" fontId="0" fillId="0" borderId="29" xfId="0" applyBorder="1"/>
    <xf numFmtId="166" fontId="0" fillId="0" borderId="29" xfId="1" applyNumberFormat="1" applyFont="1" applyBorder="1"/>
    <xf numFmtId="0" fontId="0" fillId="0" borderId="15" xfId="0" quotePrefix="1" applyBorder="1"/>
    <xf numFmtId="9" fontId="0" fillId="33" borderId="13" xfId="0" applyNumberFormat="1" applyFill="1" applyBorder="1" applyProtection="1">
      <protection locked="0"/>
    </xf>
    <xf numFmtId="0" fontId="27" fillId="0" borderId="0" xfId="0" applyFont="1"/>
    <xf numFmtId="0" fontId="0" fillId="40" borderId="0" xfId="0" applyFill="1"/>
    <xf numFmtId="0" fontId="0" fillId="0" borderId="0" xfId="0" applyAlignment="1">
      <alignment horizontal="right"/>
    </xf>
    <xf numFmtId="0" fontId="27" fillId="41" borderId="0" xfId="0" applyFont="1" applyFill="1" applyAlignment="1">
      <alignment vertical="top"/>
    </xf>
    <xf numFmtId="0" fontId="0" fillId="0" borderId="0" xfId="0" applyAlignment="1">
      <alignment horizontal="left"/>
    </xf>
    <xf numFmtId="0" fontId="27" fillId="40" borderId="0" xfId="0" applyFont="1" applyFill="1"/>
    <xf numFmtId="0" fontId="29" fillId="40" borderId="0" xfId="0" applyFont="1" applyFill="1"/>
    <xf numFmtId="0" fontId="27" fillId="41" borderId="0" xfId="0" applyFont="1" applyFill="1" applyAlignment="1">
      <alignment horizontal="left" vertical="center"/>
    </xf>
    <xf numFmtId="164" fontId="27" fillId="40" borderId="0" xfId="1" applyFont="1" applyFill="1"/>
    <xf numFmtId="164" fontId="0" fillId="40" borderId="0" xfId="1" applyFont="1" applyFill="1"/>
    <xf numFmtId="170" fontId="0" fillId="0" borderId="0" xfId="2" applyNumberFormat="1" applyFont="1"/>
    <xf numFmtId="10" fontId="0" fillId="0" borderId="0" xfId="2" applyNumberFormat="1" applyFont="1"/>
    <xf numFmtId="164" fontId="0" fillId="40" borderId="0" xfId="0" applyNumberFormat="1" applyFill="1"/>
    <xf numFmtId="171" fontId="0" fillId="0" borderId="0" xfId="0" applyNumberFormat="1"/>
    <xf numFmtId="165" fontId="0" fillId="0" borderId="29" xfId="1" applyNumberFormat="1" applyFont="1" applyBorder="1"/>
    <xf numFmtId="9" fontId="0" fillId="33" borderId="0" xfId="2" applyFont="1" applyFill="1" applyBorder="1" applyProtection="1">
      <protection locked="0"/>
    </xf>
    <xf numFmtId="165" fontId="0" fillId="0" borderId="15" xfId="1" applyNumberFormat="1" applyFont="1" applyBorder="1"/>
    <xf numFmtId="0" fontId="0" fillId="41" borderId="0" xfId="0" applyFill="1"/>
    <xf numFmtId="0" fontId="28" fillId="40" borderId="0" xfId="0" applyFont="1" applyFill="1"/>
    <xf numFmtId="0" fontId="0" fillId="39" borderId="44" xfId="0" applyFill="1" applyBorder="1" applyAlignment="1">
      <alignment vertical="center"/>
    </xf>
    <xf numFmtId="0" fontId="25" fillId="39" borderId="45" xfId="0" applyFont="1" applyFill="1" applyBorder="1" applyAlignment="1">
      <alignment vertical="center"/>
    </xf>
    <xf numFmtId="0" fontId="0" fillId="39" borderId="45" xfId="0" applyFill="1" applyBorder="1" applyAlignment="1">
      <alignment vertical="center"/>
    </xf>
    <xf numFmtId="0" fontId="0" fillId="39" borderId="46" xfId="0" applyFill="1" applyBorder="1" applyAlignment="1">
      <alignment vertical="center"/>
    </xf>
    <xf numFmtId="0" fontId="0" fillId="41" borderId="47" xfId="0" applyFill="1" applyBorder="1"/>
    <xf numFmtId="0" fontId="0" fillId="41" borderId="48" xfId="0" applyFill="1" applyBorder="1"/>
    <xf numFmtId="0" fontId="26" fillId="41" borderId="0" xfId="0" applyFont="1" applyFill="1"/>
    <xf numFmtId="0" fontId="21" fillId="41" borderId="0" xfId="0" applyFont="1" applyFill="1" applyAlignment="1">
      <alignment vertical="top"/>
    </xf>
    <xf numFmtId="0" fontId="0" fillId="41" borderId="50" xfId="0" applyFill="1" applyBorder="1"/>
    <xf numFmtId="0" fontId="0" fillId="41" borderId="51" xfId="0" applyFill="1" applyBorder="1"/>
    <xf numFmtId="0" fontId="0" fillId="41" borderId="52" xfId="0" applyFill="1" applyBorder="1"/>
    <xf numFmtId="0" fontId="0" fillId="41" borderId="49" xfId="0" applyFill="1" applyBorder="1"/>
    <xf numFmtId="0" fontId="0" fillId="41" borderId="32" xfId="0" applyFill="1" applyBorder="1"/>
    <xf numFmtId="0" fontId="27" fillId="41" borderId="0" xfId="0" applyFont="1" applyFill="1"/>
    <xf numFmtId="0" fontId="27" fillId="41" borderId="51" xfId="0" applyFont="1" applyFill="1" applyBorder="1" applyAlignment="1">
      <alignment horizontal="left" vertical="center"/>
    </xf>
    <xf numFmtId="0" fontId="0" fillId="41" borderId="51" xfId="0" applyFill="1" applyBorder="1" applyAlignment="1">
      <alignment horizontal="left"/>
    </xf>
    <xf numFmtId="0" fontId="0" fillId="39" borderId="35" xfId="0" applyFill="1" applyBorder="1"/>
    <xf numFmtId="0" fontId="25" fillId="39" borderId="36" xfId="0" applyFont="1" applyFill="1" applyBorder="1" applyAlignment="1">
      <alignment vertical="center"/>
    </xf>
    <xf numFmtId="0" fontId="25" fillId="39" borderId="36" xfId="0" applyFont="1" applyFill="1" applyBorder="1"/>
    <xf numFmtId="0" fontId="0" fillId="39" borderId="36" xfId="0" applyFill="1" applyBorder="1"/>
    <xf numFmtId="0" fontId="0" fillId="39" borderId="37" xfId="0" applyFill="1" applyBorder="1"/>
    <xf numFmtId="0" fontId="0" fillId="41" borderId="38" xfId="0" applyFill="1" applyBorder="1"/>
    <xf numFmtId="0" fontId="0" fillId="41" borderId="0" xfId="0" applyFill="1" applyAlignment="1">
      <alignment horizontal="left"/>
    </xf>
    <xf numFmtId="0" fontId="0" fillId="41" borderId="39" xfId="0" applyFill="1" applyBorder="1"/>
    <xf numFmtId="0" fontId="30" fillId="41" borderId="0" xfId="0" applyFont="1" applyFill="1" applyAlignment="1">
      <alignment horizontal="left" vertical="center"/>
    </xf>
    <xf numFmtId="166" fontId="30" fillId="41" borderId="0" xfId="1" applyNumberFormat="1" applyFont="1" applyFill="1" applyBorder="1" applyAlignment="1" applyProtection="1">
      <alignment horizontal="left" vertical="center"/>
    </xf>
    <xf numFmtId="0" fontId="29" fillId="41" borderId="0" xfId="0" applyFont="1" applyFill="1" applyAlignment="1">
      <alignment horizontal="left" vertical="center"/>
    </xf>
    <xf numFmtId="165" fontId="30" fillId="41" borderId="0" xfId="1" applyNumberFormat="1" applyFont="1" applyFill="1" applyBorder="1" applyAlignment="1" applyProtection="1">
      <alignment horizontal="left" vertical="center"/>
    </xf>
    <xf numFmtId="0" fontId="27" fillId="41" borderId="0" xfId="0" applyFont="1" applyFill="1" applyAlignment="1">
      <alignment horizontal="left"/>
    </xf>
    <xf numFmtId="0" fontId="0" fillId="41" borderId="41" xfId="0" applyFill="1" applyBorder="1"/>
    <xf numFmtId="0" fontId="0" fillId="41" borderId="42" xfId="0" applyFill="1" applyBorder="1"/>
    <xf numFmtId="0" fontId="0" fillId="41" borderId="43" xfId="0" applyFill="1" applyBorder="1"/>
    <xf numFmtId="0" fontId="24" fillId="41" borderId="0" xfId="0" applyFont="1" applyFill="1"/>
    <xf numFmtId="0" fontId="0" fillId="41" borderId="40" xfId="0" applyFill="1" applyBorder="1"/>
    <xf numFmtId="0" fontId="24" fillId="41" borderId="32" xfId="0" applyFont="1" applyFill="1" applyBorder="1"/>
    <xf numFmtId="0" fontId="27" fillId="41" borderId="39" xfId="0" applyFont="1" applyFill="1" applyBorder="1" applyAlignment="1">
      <alignment vertical="top" wrapText="1"/>
    </xf>
    <xf numFmtId="0" fontId="27" fillId="41" borderId="0" xfId="0" applyFont="1" applyFill="1" applyAlignment="1">
      <alignment vertical="center"/>
    </xf>
    <xf numFmtId="0" fontId="24" fillId="41" borderId="0" xfId="0" applyFont="1" applyFill="1" applyAlignment="1">
      <alignment horizontal="left" vertical="center"/>
    </xf>
    <xf numFmtId="164" fontId="30" fillId="41" borderId="0" xfId="1" applyFont="1" applyFill="1" applyBorder="1" applyAlignment="1" applyProtection="1">
      <alignment horizontal="left" vertical="center"/>
    </xf>
    <xf numFmtId="0" fontId="24" fillId="40" borderId="33" xfId="0" applyFont="1" applyFill="1" applyBorder="1"/>
    <xf numFmtId="0" fontId="0" fillId="40" borderId="33" xfId="0" applyFill="1" applyBorder="1"/>
    <xf numFmtId="0" fontId="32" fillId="40" borderId="0" xfId="0" applyFont="1" applyFill="1"/>
    <xf numFmtId="0" fontId="24" fillId="40" borderId="0" xfId="0" applyFont="1" applyFill="1"/>
    <xf numFmtId="164" fontId="27" fillId="40" borderId="0" xfId="1" applyFont="1" applyFill="1" applyProtection="1"/>
    <xf numFmtId="164" fontId="27" fillId="40" borderId="0" xfId="1" applyFont="1" applyFill="1" applyBorder="1" applyProtection="1"/>
    <xf numFmtId="0" fontId="17" fillId="40" borderId="0" xfId="0" applyFont="1" applyFill="1"/>
    <xf numFmtId="164" fontId="29" fillId="40" borderId="0" xfId="1" applyFont="1" applyFill="1" applyProtection="1"/>
    <xf numFmtId="0" fontId="31" fillId="40" borderId="0" xfId="0" applyFont="1" applyFill="1"/>
    <xf numFmtId="0" fontId="33" fillId="40" borderId="0" xfId="0" applyFont="1" applyFill="1"/>
    <xf numFmtId="0" fontId="14" fillId="36" borderId="53" xfId="0" applyFont="1" applyFill="1" applyBorder="1" applyAlignment="1">
      <alignment horizontal="center" vertical="center" wrapText="1"/>
    </xf>
    <xf numFmtId="0" fontId="14" fillId="38" borderId="0" xfId="0" applyFont="1" applyFill="1" applyAlignment="1">
      <alignment horizontal="center" vertical="center" wrapText="1"/>
    </xf>
    <xf numFmtId="0" fontId="14" fillId="38" borderId="0" xfId="0" applyFont="1" applyFill="1" applyAlignment="1">
      <alignment horizontal="center" wrapText="1"/>
    </xf>
    <xf numFmtId="0" fontId="34" fillId="0" borderId="0" xfId="0" applyFont="1"/>
    <xf numFmtId="9" fontId="0" fillId="0" borderId="0" xfId="1" applyNumberFormat="1" applyFont="1"/>
    <xf numFmtId="164" fontId="27" fillId="40" borderId="0" xfId="1" applyFont="1" applyFill="1" applyAlignment="1" applyProtection="1">
      <alignment horizontal="right"/>
    </xf>
    <xf numFmtId="0" fontId="21" fillId="40" borderId="0" xfId="0" applyFont="1" applyFill="1"/>
    <xf numFmtId="0" fontId="21" fillId="39" borderId="44" xfId="0" applyFont="1" applyFill="1" applyBorder="1" applyAlignment="1">
      <alignment vertical="center"/>
    </xf>
    <xf numFmtId="0" fontId="29" fillId="39" borderId="45" xfId="0" applyFont="1" applyFill="1" applyBorder="1" applyAlignment="1">
      <alignment vertical="center"/>
    </xf>
    <xf numFmtId="0" fontId="21" fillId="39" borderId="45" xfId="0" applyFont="1" applyFill="1" applyBorder="1" applyAlignment="1">
      <alignment vertical="center"/>
    </xf>
    <xf numFmtId="0" fontId="21" fillId="39" borderId="46" xfId="0" applyFont="1" applyFill="1" applyBorder="1" applyAlignment="1">
      <alignment vertical="center"/>
    </xf>
    <xf numFmtId="0" fontId="21" fillId="41" borderId="47" xfId="0" applyFont="1" applyFill="1" applyBorder="1"/>
    <xf numFmtId="0" fontId="21" fillId="41" borderId="0" xfId="0" applyFont="1" applyFill="1"/>
    <xf numFmtId="0" fontId="21" fillId="41" borderId="48" xfId="0" applyFont="1" applyFill="1" applyBorder="1"/>
    <xf numFmtId="0" fontId="37" fillId="41" borderId="0" xfId="0" applyFont="1" applyFill="1"/>
    <xf numFmtId="172" fontId="27" fillId="41" borderId="0" xfId="0" applyNumberFormat="1" applyFont="1" applyFill="1" applyAlignment="1">
      <alignment vertical="top"/>
    </xf>
    <xf numFmtId="172" fontId="27" fillId="41" borderId="20" xfId="0" applyNumberFormat="1" applyFont="1" applyFill="1" applyBorder="1" applyAlignment="1" applyProtection="1">
      <alignment vertical="center"/>
      <protection locked="0"/>
    </xf>
    <xf numFmtId="172" fontId="27" fillId="41" borderId="0" xfId="0" applyNumberFormat="1" applyFont="1" applyFill="1" applyAlignment="1">
      <alignment vertical="center"/>
    </xf>
    <xf numFmtId="9" fontId="0" fillId="0" borderId="20" xfId="2" applyFont="1" applyBorder="1" applyProtection="1">
      <protection locked="0"/>
    </xf>
    <xf numFmtId="0" fontId="21" fillId="41" borderId="0" xfId="0" applyFont="1" applyFill="1" applyAlignment="1">
      <alignment vertical="center"/>
    </xf>
    <xf numFmtId="173" fontId="27" fillId="41" borderId="20" xfId="0" applyNumberFormat="1" applyFont="1" applyFill="1" applyBorder="1" applyAlignment="1" applyProtection="1">
      <alignment horizontal="right" vertical="center"/>
      <protection locked="0"/>
    </xf>
    <xf numFmtId="0" fontId="21" fillId="41" borderId="50" xfId="0" applyFont="1" applyFill="1" applyBorder="1"/>
    <xf numFmtId="0" fontId="21" fillId="41" borderId="51" xfId="0" applyFont="1" applyFill="1" applyBorder="1"/>
    <xf numFmtId="0" fontId="21" fillId="41" borderId="52" xfId="0" applyFont="1" applyFill="1" applyBorder="1"/>
    <xf numFmtId="0" fontId="26" fillId="40" borderId="33" xfId="0" applyFont="1" applyFill="1" applyBorder="1"/>
    <xf numFmtId="0" fontId="21" fillId="40" borderId="33" xfId="0" applyFont="1" applyFill="1" applyBorder="1"/>
    <xf numFmtId="0" fontId="39" fillId="40" borderId="0" xfId="0" applyFont="1" applyFill="1"/>
    <xf numFmtId="0" fontId="39" fillId="41" borderId="0" xfId="0" applyFont="1" applyFill="1"/>
    <xf numFmtId="0" fontId="39" fillId="0" borderId="0" xfId="0" applyFont="1"/>
    <xf numFmtId="0" fontId="27" fillId="40" borderId="0" xfId="0" applyFont="1" applyFill="1" applyAlignment="1">
      <alignment horizontal="right"/>
    </xf>
    <xf numFmtId="0" fontId="40" fillId="40" borderId="0" xfId="0" applyFont="1" applyFill="1"/>
    <xf numFmtId="0" fontId="27" fillId="40" borderId="33" xfId="0" applyFont="1" applyFill="1" applyBorder="1"/>
    <xf numFmtId="0" fontId="1" fillId="41" borderId="0" xfId="0" applyFont="1" applyFill="1"/>
    <xf numFmtId="0" fontId="1" fillId="0" borderId="0" xfId="0" applyFont="1"/>
    <xf numFmtId="0" fontId="1" fillId="40" borderId="0" xfId="0" applyFont="1" applyFill="1"/>
    <xf numFmtId="0" fontId="41" fillId="40" borderId="0" xfId="0" applyFont="1" applyFill="1"/>
    <xf numFmtId="0" fontId="43" fillId="43" borderId="22" xfId="0" applyFont="1" applyFill="1" applyBorder="1" applyAlignment="1">
      <alignment horizontal="center" vertical="center"/>
    </xf>
    <xf numFmtId="0" fontId="43" fillId="43" borderId="23" xfId="0" applyFont="1" applyFill="1" applyBorder="1" applyAlignment="1">
      <alignment horizontal="center" vertical="center" wrapText="1"/>
    </xf>
    <xf numFmtId="0" fontId="43" fillId="43" borderId="22" xfId="0" applyFont="1" applyFill="1" applyBorder="1" applyAlignment="1">
      <alignment horizontal="center" vertical="center" wrapText="1"/>
    </xf>
    <xf numFmtId="1" fontId="43" fillId="43" borderId="24" xfId="0" applyNumberFormat="1" applyFont="1" applyFill="1" applyBorder="1" applyAlignment="1">
      <alignment horizontal="center" vertical="center"/>
    </xf>
    <xf numFmtId="0" fontId="44" fillId="0" borderId="0" xfId="0" applyFont="1"/>
    <xf numFmtId="0" fontId="0" fillId="0" borderId="0" xfId="0" applyAlignment="1">
      <alignment wrapText="1"/>
    </xf>
    <xf numFmtId="0" fontId="0" fillId="0" borderId="10" xfId="0" applyBorder="1" applyAlignment="1">
      <alignment wrapText="1"/>
    </xf>
    <xf numFmtId="1" fontId="0" fillId="0" borderId="13" xfId="0" applyNumberFormat="1" applyBorder="1" applyAlignment="1">
      <alignment horizontal="center"/>
    </xf>
    <xf numFmtId="0" fontId="0" fillId="0" borderId="12" xfId="0" applyBorder="1" applyAlignment="1">
      <alignment wrapText="1"/>
    </xf>
    <xf numFmtId="174" fontId="0" fillId="0" borderId="0" xfId="44" applyNumberFormat="1" applyFont="1"/>
    <xf numFmtId="174" fontId="0" fillId="0" borderId="12" xfId="44" applyNumberFormat="1" applyFont="1" applyBorder="1"/>
    <xf numFmtId="175" fontId="0" fillId="0" borderId="13" xfId="0" applyNumberFormat="1" applyBorder="1" applyAlignment="1">
      <alignment horizontal="center"/>
    </xf>
    <xf numFmtId="176" fontId="0" fillId="0" borderId="0" xfId="0" applyNumberFormat="1"/>
    <xf numFmtId="176" fontId="0" fillId="0" borderId="12" xfId="0" applyNumberFormat="1" applyBorder="1"/>
    <xf numFmtId="0" fontId="18" fillId="0" borderId="0" xfId="0" applyFont="1"/>
    <xf numFmtId="174" fontId="0" fillId="0" borderId="29" xfId="44" applyNumberFormat="1" applyFont="1" applyBorder="1"/>
    <xf numFmtId="174" fontId="0" fillId="0" borderId="14" xfId="44" applyNumberFormat="1" applyFont="1" applyBorder="1"/>
    <xf numFmtId="0" fontId="0" fillId="0" borderId="15" xfId="0" applyBorder="1" applyAlignment="1">
      <alignment horizontal="center"/>
    </xf>
    <xf numFmtId="174" fontId="0" fillId="0" borderId="29" xfId="44" applyNumberFormat="1" applyFont="1" applyFill="1" applyBorder="1"/>
    <xf numFmtId="174" fontId="0" fillId="0" borderId="14" xfId="44" applyNumberFormat="1" applyFont="1" applyFill="1" applyBorder="1"/>
    <xf numFmtId="176" fontId="44" fillId="0" borderId="0" xfId="0" applyNumberFormat="1" applyFont="1"/>
    <xf numFmtId="176" fontId="44" fillId="0" borderId="10" xfId="0" applyNumberFormat="1" applyFont="1" applyBorder="1"/>
    <xf numFmtId="176" fontId="44" fillId="0" borderId="28" xfId="0" applyNumberFormat="1" applyFont="1" applyBorder="1"/>
    <xf numFmtId="175" fontId="17" fillId="0" borderId="11" xfId="0" applyNumberFormat="1" applyFont="1" applyBorder="1" applyAlignment="1">
      <alignment horizontal="center"/>
    </xf>
    <xf numFmtId="44" fontId="17" fillId="0" borderId="20" xfId="0" applyNumberFormat="1" applyFont="1" applyBorder="1"/>
    <xf numFmtId="176" fontId="44" fillId="0" borderId="14" xfId="0" applyNumberFormat="1" applyFont="1" applyBorder="1"/>
    <xf numFmtId="176" fontId="44" fillId="0" borderId="29" xfId="0" applyNumberFormat="1" applyFont="1" applyBorder="1"/>
    <xf numFmtId="175" fontId="17" fillId="0" borderId="15" xfId="0" applyNumberFormat="1" applyFont="1" applyBorder="1" applyAlignment="1">
      <alignment horizontal="center"/>
    </xf>
    <xf numFmtId="0" fontId="44" fillId="0" borderId="28" xfId="0" applyFont="1" applyBorder="1"/>
    <xf numFmtId="0" fontId="45" fillId="0" borderId="0" xfId="0" applyFont="1"/>
    <xf numFmtId="0" fontId="45" fillId="0" borderId="0" xfId="0" applyFont="1" applyAlignment="1">
      <alignment horizontal="center"/>
    </xf>
    <xf numFmtId="0" fontId="45" fillId="0" borderId="29" xfId="0" applyFont="1" applyBorder="1"/>
    <xf numFmtId="0" fontId="45" fillId="0" borderId="29" xfId="0" applyFont="1" applyBorder="1" applyAlignment="1">
      <alignment horizontal="center"/>
    </xf>
    <xf numFmtId="0" fontId="0" fillId="0" borderId="29" xfId="0" applyBorder="1" applyAlignment="1">
      <alignment horizontal="center"/>
    </xf>
    <xf numFmtId="0" fontId="46" fillId="43" borderId="20" xfId="0" applyFont="1" applyFill="1" applyBorder="1"/>
    <xf numFmtId="0" fontId="18" fillId="43" borderId="20" xfId="0" applyFont="1" applyFill="1" applyBorder="1" applyAlignment="1">
      <alignment horizontal="center" vertical="center"/>
    </xf>
    <xf numFmtId="0" fontId="0" fillId="0" borderId="20" xfId="0" applyBorder="1"/>
    <xf numFmtId="0" fontId="0" fillId="0" borderId="20" xfId="0" applyBorder="1" applyAlignment="1">
      <alignment horizontal="center" vertical="center"/>
    </xf>
    <xf numFmtId="0" fontId="45" fillId="0" borderId="20" xfId="0" applyFont="1" applyBorder="1" applyAlignment="1">
      <alignment horizontal="center"/>
    </xf>
    <xf numFmtId="0" fontId="0" fillId="0" borderId="54" xfId="0" applyBorder="1" applyAlignment="1">
      <alignment horizontal="center"/>
    </xf>
    <xf numFmtId="0" fontId="44" fillId="0" borderId="0" xfId="0" applyFont="1" applyAlignment="1">
      <alignment wrapText="1"/>
    </xf>
    <xf numFmtId="0" fontId="44" fillId="0" borderId="0" xfId="0" applyFont="1" applyAlignment="1">
      <alignment horizontal="center" vertical="center"/>
    </xf>
    <xf numFmtId="0" fontId="44" fillId="0" borderId="0" xfId="0" applyFont="1" applyAlignment="1">
      <alignment horizontal="center" vertical="center" wrapText="1"/>
    </xf>
    <xf numFmtId="168" fontId="44" fillId="0" borderId="0" xfId="0" applyNumberFormat="1" applyFont="1" applyAlignment="1">
      <alignment horizontal="center" vertical="center"/>
    </xf>
    <xf numFmtId="0" fontId="44" fillId="33" borderId="22" xfId="0" applyFont="1" applyFill="1" applyBorder="1" applyAlignment="1">
      <alignment horizontal="center" vertical="center"/>
    </xf>
    <xf numFmtId="0" fontId="47" fillId="0" borderId="0" xfId="0" applyFont="1" applyAlignment="1">
      <alignment horizontal="center"/>
    </xf>
    <xf numFmtId="1" fontId="47" fillId="0" borderId="0" xfId="0" applyNumberFormat="1" applyFont="1" applyAlignment="1">
      <alignment horizontal="center"/>
    </xf>
    <xf numFmtId="0" fontId="47" fillId="0" borderId="0" xfId="0" applyFont="1"/>
    <xf numFmtId="175" fontId="0" fillId="0" borderId="18" xfId="0" applyNumberFormat="1" applyBorder="1" applyAlignment="1">
      <alignment horizontal="center" vertical="center"/>
    </xf>
    <xf numFmtId="1" fontId="0" fillId="0" borderId="0" xfId="0" applyNumberFormat="1"/>
    <xf numFmtId="0" fontId="0" fillId="0" borderId="55" xfId="0" applyBorder="1" applyAlignment="1">
      <alignment horizontal="center" vertical="center"/>
    </xf>
    <xf numFmtId="0" fontId="44" fillId="0" borderId="0" xfId="0" applyFont="1" applyAlignment="1">
      <alignment horizontal="center" wrapText="1"/>
    </xf>
    <xf numFmtId="44" fontId="0" fillId="0" borderId="55" xfId="44" applyFont="1" applyFill="1" applyBorder="1"/>
    <xf numFmtId="44" fontId="0" fillId="0" borderId="19" xfId="44" applyFont="1" applyFill="1" applyBorder="1"/>
    <xf numFmtId="0" fontId="45" fillId="0" borderId="12" xfId="0" applyFont="1" applyBorder="1"/>
    <xf numFmtId="1" fontId="0" fillId="0" borderId="0" xfId="0" applyNumberFormat="1" applyAlignment="1">
      <alignment horizontal="center"/>
    </xf>
    <xf numFmtId="0" fontId="45" fillId="0" borderId="14" xfId="0" applyFont="1" applyBorder="1"/>
    <xf numFmtId="44" fontId="44" fillId="44" borderId="20" xfId="44" applyFont="1" applyFill="1" applyBorder="1"/>
    <xf numFmtId="168" fontId="44" fillId="0" borderId="0" xfId="0" applyNumberFormat="1" applyFont="1"/>
    <xf numFmtId="1" fontId="44" fillId="0" borderId="0" xfId="0" applyNumberFormat="1" applyFont="1"/>
    <xf numFmtId="168" fontId="47" fillId="0" borderId="0" xfId="0" applyNumberFormat="1" applyFont="1" applyAlignment="1">
      <alignment horizontal="center"/>
    </xf>
    <xf numFmtId="0" fontId="44" fillId="45" borderId="18" xfId="0" quotePrefix="1" applyFont="1" applyFill="1" applyBorder="1" applyAlignment="1">
      <alignment horizontal="center" vertical="center" wrapText="1"/>
    </xf>
    <xf numFmtId="0" fontId="43" fillId="43" borderId="0" xfId="0" applyFont="1" applyFill="1"/>
    <xf numFmtId="0" fontId="48" fillId="0" borderId="0" xfId="45"/>
    <xf numFmtId="0" fontId="14" fillId="43" borderId="0" xfId="0" applyFont="1" applyFill="1"/>
    <xf numFmtId="0" fontId="18" fillId="43" borderId="0" xfId="0" applyFont="1" applyFill="1"/>
    <xf numFmtId="164" fontId="1" fillId="0" borderId="0" xfId="0" applyNumberFormat="1" applyFont="1"/>
    <xf numFmtId="9" fontId="27" fillId="41" borderId="20" xfId="2" applyFont="1" applyFill="1" applyBorder="1" applyAlignment="1">
      <alignment horizontal="right" vertical="center"/>
    </xf>
    <xf numFmtId="1" fontId="43" fillId="0" borderId="0" xfId="0" applyNumberFormat="1" applyFont="1" applyAlignment="1">
      <alignment horizontal="center" vertical="center"/>
    </xf>
    <xf numFmtId="175" fontId="0" fillId="0" borderId="0" xfId="0" applyNumberFormat="1" applyAlignment="1">
      <alignment horizontal="center"/>
    </xf>
    <xf numFmtId="175" fontId="17" fillId="0" borderId="0" xfId="0" applyNumberFormat="1" applyFont="1" applyAlignment="1">
      <alignment horizontal="center"/>
    </xf>
    <xf numFmtId="0" fontId="0" fillId="0" borderId="0" xfId="0" quotePrefix="1" applyAlignment="1">
      <alignment horizontal="center"/>
    </xf>
    <xf numFmtId="0" fontId="17" fillId="0" borderId="0" xfId="0" applyFont="1" applyAlignment="1">
      <alignment horizontal="left"/>
    </xf>
    <xf numFmtId="177" fontId="27" fillId="41" borderId="0" xfId="0" applyNumberFormat="1" applyFont="1" applyFill="1" applyAlignment="1">
      <alignment vertical="top"/>
    </xf>
    <xf numFmtId="0" fontId="31" fillId="40" borderId="0" xfId="0" applyFont="1" applyFill="1" applyAlignment="1">
      <alignment horizontal="left" vertical="top" wrapText="1"/>
    </xf>
    <xf numFmtId="0" fontId="27" fillId="41" borderId="22" xfId="0" applyFont="1" applyFill="1" applyBorder="1" applyAlignment="1" applyProtection="1">
      <alignment horizontal="left" vertical="center"/>
      <protection locked="0"/>
    </xf>
    <xf numFmtId="0" fontId="27" fillId="41" borderId="23" xfId="0" applyFont="1" applyFill="1" applyBorder="1" applyAlignment="1" applyProtection="1">
      <alignment horizontal="left" vertical="center"/>
      <protection locked="0"/>
    </xf>
    <xf numFmtId="0" fontId="27" fillId="41" borderId="24" xfId="0" applyFont="1" applyFill="1" applyBorder="1" applyAlignment="1" applyProtection="1">
      <alignment horizontal="left" vertical="center"/>
      <protection locked="0"/>
    </xf>
    <xf numFmtId="0" fontId="27" fillId="41" borderId="30" xfId="0" applyFont="1" applyFill="1" applyBorder="1" applyAlignment="1" applyProtection="1">
      <alignment horizontal="left" vertical="center"/>
      <protection locked="0"/>
    </xf>
    <xf numFmtId="0" fontId="27" fillId="41" borderId="31" xfId="0" applyFont="1" applyFill="1" applyBorder="1" applyAlignment="1" applyProtection="1">
      <alignment horizontal="left" vertical="center"/>
      <protection locked="0"/>
    </xf>
    <xf numFmtId="0" fontId="30" fillId="41" borderId="0" xfId="0" applyFont="1" applyFill="1" applyAlignment="1">
      <alignment horizontal="left" vertical="top" wrapText="1"/>
    </xf>
    <xf numFmtId="0" fontId="27" fillId="41" borderId="0" xfId="0" applyFont="1" applyFill="1" applyAlignment="1">
      <alignment horizontal="left" vertical="center"/>
    </xf>
    <xf numFmtId="0" fontId="0" fillId="41" borderId="0" xfId="0" applyFill="1" applyAlignment="1">
      <alignment horizontal="left"/>
    </xf>
    <xf numFmtId="0" fontId="24" fillId="41" borderId="0" xfId="0" applyFont="1" applyFill="1" applyAlignment="1">
      <alignment horizontal="left" vertical="center"/>
    </xf>
    <xf numFmtId="0" fontId="27" fillId="41" borderId="0" xfId="0" applyFont="1" applyFill="1" applyAlignment="1">
      <alignment horizontal="left" vertical="top" wrapText="1"/>
    </xf>
    <xf numFmtId="0" fontId="27" fillId="41" borderId="34" xfId="0" applyFont="1" applyFill="1" applyBorder="1" applyAlignment="1" applyProtection="1">
      <alignment horizontal="left" vertical="center"/>
      <protection locked="0"/>
    </xf>
    <xf numFmtId="0" fontId="38" fillId="41" borderId="22" xfId="0" applyFont="1" applyFill="1" applyBorder="1" applyAlignment="1" applyProtection="1">
      <alignment horizontal="left" vertical="center"/>
      <protection locked="0"/>
    </xf>
    <xf numFmtId="0" fontId="38" fillId="41" borderId="23" xfId="0" applyFont="1" applyFill="1" applyBorder="1" applyAlignment="1" applyProtection="1">
      <alignment horizontal="left" vertical="center"/>
      <protection locked="0"/>
    </xf>
    <xf numFmtId="0" fontId="38" fillId="41" borderId="24" xfId="0" applyFont="1" applyFill="1" applyBorder="1" applyAlignment="1" applyProtection="1">
      <alignment horizontal="left" vertical="center"/>
      <protection locked="0"/>
    </xf>
    <xf numFmtId="0" fontId="42" fillId="42" borderId="22" xfId="0" applyFont="1" applyFill="1" applyBorder="1" applyAlignment="1">
      <alignment horizontal="center"/>
    </xf>
    <xf numFmtId="0" fontId="42" fillId="42" borderId="23" xfId="0" applyFont="1" applyFill="1" applyBorder="1" applyAlignment="1">
      <alignment horizontal="center"/>
    </xf>
    <xf numFmtId="0" fontId="42" fillId="42" borderId="24" xfId="0" applyFont="1" applyFill="1" applyBorder="1" applyAlignment="1">
      <alignment horizontal="center"/>
    </xf>
    <xf numFmtId="0" fontId="0" fillId="0" borderId="0" xfId="0" applyAlignment="1">
      <alignment horizontal="center"/>
    </xf>
    <xf numFmtId="164" fontId="17" fillId="0" borderId="16" xfId="1" applyFont="1" applyBorder="1" applyAlignment="1">
      <alignment horizontal="center" vertical="center"/>
    </xf>
    <xf numFmtId="164" fontId="17" fillId="0" borderId="17" xfId="1" applyFont="1" applyBorder="1" applyAlignment="1">
      <alignment horizontal="center" vertical="center"/>
    </xf>
    <xf numFmtId="0" fontId="17" fillId="0" borderId="16" xfId="0" applyFont="1" applyBorder="1" applyAlignment="1">
      <alignment horizontal="center"/>
    </xf>
    <xf numFmtId="0" fontId="17" fillId="0" borderId="17" xfId="0" applyFont="1" applyBorder="1" applyAlignment="1">
      <alignment horizontal="center"/>
    </xf>
    <xf numFmtId="0" fontId="14" fillId="36" borderId="11" xfId="0" applyFont="1" applyFill="1" applyBorder="1" applyAlignment="1">
      <alignment horizontal="center" vertical="center" wrapText="1"/>
    </xf>
    <xf numFmtId="0" fontId="14" fillId="36" borderId="13" xfId="0" applyFont="1" applyFill="1" applyBorder="1" applyAlignment="1">
      <alignment horizontal="center" vertical="center" wrapText="1"/>
    </xf>
    <xf numFmtId="0" fontId="14" fillId="36" borderId="27" xfId="0" applyFont="1" applyFill="1" applyBorder="1" applyAlignment="1">
      <alignment horizontal="center" vertical="center" wrapText="1"/>
    </xf>
    <xf numFmtId="0" fontId="14" fillId="36" borderId="22" xfId="0" applyFont="1" applyFill="1" applyBorder="1" applyAlignment="1">
      <alignment horizontal="center" vertical="center" wrapText="1"/>
    </xf>
    <xf numFmtId="0" fontId="14" fillId="36" borderId="23" xfId="0" applyFont="1" applyFill="1" applyBorder="1" applyAlignment="1">
      <alignment horizontal="center" vertical="center" wrapText="1"/>
    </xf>
    <xf numFmtId="0" fontId="14" fillId="38" borderId="22" xfId="0" applyFont="1" applyFill="1" applyBorder="1" applyAlignment="1">
      <alignment horizontal="center" vertical="center" wrapText="1"/>
    </xf>
    <xf numFmtId="0" fontId="14" fillId="38" borderId="23" xfId="0" applyFont="1" applyFill="1" applyBorder="1" applyAlignment="1">
      <alignment horizontal="center" vertical="center" wrapText="1"/>
    </xf>
    <xf numFmtId="0" fontId="14" fillId="38" borderId="24" xfId="0" applyFont="1" applyFill="1" applyBorder="1" applyAlignment="1">
      <alignment horizontal="center" vertical="center" wrapText="1"/>
    </xf>
  </cellXfs>
  <cellStyles count="46">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ellStyle name="Currency" xfId="44"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45" builtinId="8"/>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ellStyle name="Title" xfId="3" builtinId="15" customBuiltin="1"/>
    <cellStyle name="Total" xfId="19" builtinId="25" customBuiltin="1"/>
    <cellStyle name="Warning Text" xfId="16" builtinId="11" customBuiltin="1"/>
  </cellStyles>
  <dxfs count="8">
    <dxf>
      <font>
        <color rgb="FF9C0006"/>
      </font>
    </dxf>
    <dxf>
      <font>
        <color rgb="FF9C0006"/>
      </font>
      <fill>
        <patternFill patternType="none">
          <bgColor auto="1"/>
        </patternFill>
      </fill>
    </dxf>
    <dxf>
      <font>
        <color rgb="FF9C0006"/>
      </font>
    </dxf>
    <dxf>
      <font>
        <color rgb="FF9C0006"/>
      </font>
      <fill>
        <patternFill patternType="none">
          <bgColor auto="1"/>
        </patternFill>
      </fill>
    </dxf>
    <dxf>
      <font>
        <color rgb="FF9C0006"/>
      </font>
    </dxf>
    <dxf>
      <font>
        <color rgb="FF9C0006"/>
      </font>
      <fill>
        <patternFill patternType="none">
          <bgColor auto="1"/>
        </patternFill>
      </fill>
    </dxf>
    <dxf>
      <font>
        <color rgb="FF9C0006"/>
      </font>
    </dxf>
    <dxf>
      <font>
        <color rgb="FF9C0006"/>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4"/>
              </a:solidFill>
              <a:ln w="19050">
                <a:solidFill>
                  <a:schemeClr val="lt1"/>
                </a:solidFill>
              </a:ln>
              <a:effectLst/>
            </c:spPr>
            <c:extLst>
              <c:ext xmlns:c16="http://schemas.microsoft.com/office/drawing/2014/chart" uri="{C3380CC4-5D6E-409C-BE32-E72D297353CC}">
                <c16:uniqueId val="{00000001-8FC4-4915-B9A3-3DBEEA50492E}"/>
              </c:ext>
            </c:extLst>
          </c:dPt>
          <c:dPt>
            <c:idx val="1"/>
            <c:bubble3D val="0"/>
            <c:spPr>
              <a:solidFill>
                <a:schemeClr val="accent1">
                  <a:lumMod val="75000"/>
                </a:schemeClr>
              </a:solidFill>
              <a:ln w="19050">
                <a:solidFill>
                  <a:schemeClr val="lt1"/>
                </a:solidFill>
              </a:ln>
              <a:effectLst/>
            </c:spPr>
            <c:extLst>
              <c:ext xmlns:c16="http://schemas.microsoft.com/office/drawing/2014/chart" uri="{C3380CC4-5D6E-409C-BE32-E72D297353CC}">
                <c16:uniqueId val="{00000003-8FC4-4915-B9A3-3DBEEA50492E}"/>
              </c:ext>
            </c:extLst>
          </c:dPt>
          <c:dPt>
            <c:idx val="2"/>
            <c:bubble3D val="0"/>
            <c:spPr>
              <a:solidFill>
                <a:schemeClr val="accent1"/>
              </a:solidFill>
              <a:ln w="19050">
                <a:solidFill>
                  <a:schemeClr val="lt1"/>
                </a:solidFill>
              </a:ln>
              <a:effectLst/>
            </c:spPr>
            <c:extLst>
              <c:ext xmlns:c16="http://schemas.microsoft.com/office/drawing/2014/chart" uri="{C3380CC4-5D6E-409C-BE32-E72D297353CC}">
                <c16:uniqueId val="{00000005-8FC4-4915-B9A3-3DBEEA50492E}"/>
              </c:ext>
            </c:extLst>
          </c:dPt>
          <c:dPt>
            <c:idx val="3"/>
            <c:bubble3D val="0"/>
            <c:spPr>
              <a:solidFill>
                <a:schemeClr val="tx1">
                  <a:lumMod val="65000"/>
                  <a:lumOff val="35000"/>
                </a:schemeClr>
              </a:solidFill>
              <a:ln w="19050">
                <a:solidFill>
                  <a:schemeClr val="lt1"/>
                </a:solidFill>
              </a:ln>
              <a:effectLst/>
            </c:spPr>
            <c:extLst>
              <c:ext xmlns:c16="http://schemas.microsoft.com/office/drawing/2014/chart" uri="{C3380CC4-5D6E-409C-BE32-E72D297353CC}">
                <c16:uniqueId val="{00000007-8FC4-4915-B9A3-3DBEEA50492E}"/>
              </c:ext>
            </c:extLst>
          </c:dPt>
          <c:dPt>
            <c:idx val="4"/>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9-8FC4-4915-B9A3-3DBEEA50492E}"/>
              </c:ext>
            </c:extLst>
          </c:dPt>
          <c:dPt>
            <c:idx val="5"/>
            <c:bubble3D val="0"/>
            <c:spPr>
              <a:solidFill>
                <a:schemeClr val="accent2"/>
              </a:solidFill>
              <a:ln w="19050">
                <a:solidFill>
                  <a:schemeClr val="lt1"/>
                </a:solidFill>
              </a:ln>
              <a:effectLst/>
            </c:spPr>
            <c:extLst>
              <c:ext xmlns:c16="http://schemas.microsoft.com/office/drawing/2014/chart" uri="{C3380CC4-5D6E-409C-BE32-E72D297353CC}">
                <c16:uniqueId val="{0000000B-8FC4-4915-B9A3-3DBEEA50492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Calulations!$A$53:$A$58</c:f>
              <c:strCache>
                <c:ptCount val="6"/>
                <c:pt idx="0">
                  <c:v>EC2 - Compute</c:v>
                </c:pt>
                <c:pt idx="1">
                  <c:v>EBS -Storage</c:v>
                </c:pt>
                <c:pt idx="2">
                  <c:v>FSx -Storage</c:v>
                </c:pt>
                <c:pt idx="3">
                  <c:v>Site-to-Site - Networking</c:v>
                </c:pt>
                <c:pt idx="4">
                  <c:v>Data Transfer Out - Networking</c:v>
                </c:pt>
                <c:pt idx="5">
                  <c:v>AppStream 2.0</c:v>
                </c:pt>
              </c:strCache>
            </c:strRef>
          </c:cat>
          <c:val>
            <c:numRef>
              <c:f>Calulations!$B$53:$B$58</c:f>
              <c:numCache>
                <c:formatCode>_-* #,##0_-;\-* #,##0_-;_-* "-"??_-;_-@_-</c:formatCode>
                <c:ptCount val="6"/>
                <c:pt idx="0">
                  <c:v>#N/A</c:v>
                </c:pt>
                <c:pt idx="1">
                  <c:v>0</c:v>
                </c:pt>
                <c:pt idx="2">
                  <c:v>#N/A</c:v>
                </c:pt>
                <c:pt idx="3">
                  <c:v>0</c:v>
                </c:pt>
                <c:pt idx="4">
                  <c:v>0</c:v>
                </c:pt>
                <c:pt idx="5">
                  <c:v>0</c:v>
                </c:pt>
              </c:numCache>
            </c:numRef>
          </c:val>
          <c:extLst>
            <c:ext xmlns:c16="http://schemas.microsoft.com/office/drawing/2014/chart" uri="{C3380CC4-5D6E-409C-BE32-E72D297353CC}">
              <c16:uniqueId val="{0000000C-8FC4-4915-B9A3-3DBEEA50492E}"/>
            </c:ext>
          </c:extLst>
        </c:ser>
        <c:dLbls>
          <c:dLblPos val="outEnd"/>
          <c:showLegendKey val="0"/>
          <c:showVal val="0"/>
          <c:showCatName val="0"/>
          <c:showSerName val="0"/>
          <c:showPercent val="1"/>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solidFill>
              <a:srgbClr val="00B0F0"/>
            </a:solidFill>
          </c:spPr>
          <c:dPt>
            <c:idx val="0"/>
            <c:bubble3D val="0"/>
            <c:spPr>
              <a:solidFill>
                <a:srgbClr val="0070C0"/>
              </a:solidFill>
              <a:ln w="19050">
                <a:solidFill>
                  <a:schemeClr val="lt1"/>
                </a:solidFill>
              </a:ln>
              <a:effectLst/>
            </c:spPr>
            <c:extLst>
              <c:ext xmlns:c16="http://schemas.microsoft.com/office/drawing/2014/chart" uri="{C3380CC4-5D6E-409C-BE32-E72D297353CC}">
                <c16:uniqueId val="{00000001-7A8E-C245-B5BB-17D0D51BAFAE}"/>
              </c:ext>
            </c:extLst>
          </c:dPt>
          <c:dPt>
            <c:idx val="1"/>
            <c:bubble3D val="0"/>
            <c:spPr>
              <a:solidFill>
                <a:srgbClr val="00B0F0"/>
              </a:solidFill>
              <a:ln w="19050">
                <a:solidFill>
                  <a:schemeClr val="lt1"/>
                </a:solidFill>
              </a:ln>
              <a:effectLst/>
            </c:spPr>
            <c:extLst>
              <c:ext xmlns:c16="http://schemas.microsoft.com/office/drawing/2014/chart" uri="{C3380CC4-5D6E-409C-BE32-E72D297353CC}">
                <c16:uniqueId val="{00000003-7A8E-C245-B5BB-17D0D51BAFAE}"/>
              </c:ext>
            </c:extLst>
          </c:dPt>
          <c:dLbls>
            <c:dLbl>
              <c:idx val="0"/>
              <c:dLblPos val="outEnd"/>
              <c:showLegendKey val="0"/>
              <c:showVal val="0"/>
              <c:showCatName val="0"/>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7A8E-C245-B5BB-17D0D51BAFAE}"/>
                </c:ext>
              </c:extLst>
            </c:dLbl>
            <c:dLbl>
              <c:idx val="1"/>
              <c:dLblPos val="outEnd"/>
              <c:showLegendKey val="0"/>
              <c:showVal val="0"/>
              <c:showCatName val="0"/>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7A8E-C245-B5BB-17D0D51BAFA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'Tiger Input'!$B$80:$B$81</c:f>
              <c:strCache>
                <c:ptCount val="2"/>
                <c:pt idx="0">
                  <c:v>Immediate Tier</c:v>
                </c:pt>
                <c:pt idx="1">
                  <c:v>Archive Tier</c:v>
                </c:pt>
              </c:strCache>
            </c:strRef>
          </c:cat>
          <c:val>
            <c:numRef>
              <c:f>'Tiger Input'!$C$80:$C$81</c:f>
              <c:numCache>
                <c:formatCode>_-* #,##0.00_-;\-* #,##0.00_-;_-* "-"??_-;_-@_-</c:formatCode>
                <c:ptCount val="2"/>
                <c:pt idx="0">
                  <c:v>0</c:v>
                </c:pt>
                <c:pt idx="1">
                  <c:v>0</c:v>
                </c:pt>
              </c:numCache>
            </c:numRef>
          </c:val>
          <c:extLst>
            <c:ext xmlns:c16="http://schemas.microsoft.com/office/drawing/2014/chart" uri="{C3380CC4-5D6E-409C-BE32-E72D297353CC}">
              <c16:uniqueId val="{00000004-7A8E-C245-B5BB-17D0D51BAFAE}"/>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75151525482798065"/>
          <c:y val="0.45438107092884483"/>
          <c:w val="0.22192378975876917"/>
          <c:h val="0.152486079350194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083-48AE-AEB3-A99275B9CB5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083-48AE-AEB3-A99275B9CB5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083-48AE-AEB3-A99275B9CB5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083-48AE-AEB3-A99275B9CB58}"/>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083-48AE-AEB3-A99275B9CB58}"/>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083-48AE-AEB3-A99275B9CB58}"/>
              </c:ext>
            </c:extLst>
          </c:dPt>
          <c:cat>
            <c:strRef>
              <c:f>Calulations!$A$53:$A$58</c:f>
              <c:strCache>
                <c:ptCount val="6"/>
                <c:pt idx="0">
                  <c:v>EC2 - Compute</c:v>
                </c:pt>
                <c:pt idx="1">
                  <c:v>EBS -Storage</c:v>
                </c:pt>
                <c:pt idx="2">
                  <c:v>FSx -Storage</c:v>
                </c:pt>
                <c:pt idx="3">
                  <c:v>Site-to-Site - Networking</c:v>
                </c:pt>
                <c:pt idx="4">
                  <c:v>Data Transfer Out - Networking</c:v>
                </c:pt>
                <c:pt idx="5">
                  <c:v>AppStream 2.0</c:v>
                </c:pt>
              </c:strCache>
            </c:strRef>
          </c:cat>
          <c:val>
            <c:numRef>
              <c:f>Calulations!$B$53:$B$58</c:f>
              <c:numCache>
                <c:formatCode>_-* #,##0_-;\-* #,##0_-;_-* "-"??_-;_-@_-</c:formatCode>
                <c:ptCount val="6"/>
                <c:pt idx="0">
                  <c:v>#N/A</c:v>
                </c:pt>
                <c:pt idx="1">
                  <c:v>0</c:v>
                </c:pt>
                <c:pt idx="2">
                  <c:v>#N/A</c:v>
                </c:pt>
                <c:pt idx="3">
                  <c:v>0</c:v>
                </c:pt>
                <c:pt idx="4">
                  <c:v>0</c:v>
                </c:pt>
                <c:pt idx="5">
                  <c:v>0</c:v>
                </c:pt>
              </c:numCache>
            </c:numRef>
          </c:val>
          <c:extLst>
            <c:ext xmlns:c16="http://schemas.microsoft.com/office/drawing/2014/chart" uri="{C3380CC4-5D6E-409C-BE32-E72D297353CC}">
              <c16:uniqueId val="{00000000-AA5E-40F9-9C0A-1484821F3852}"/>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017622124995232"/>
          <c:y val="0.10667906409301624"/>
          <c:w val="0.65350732050594562"/>
          <c:h val="0.77993593511487114"/>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FD8-43D0-B5B0-B4554273B42B}"/>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FD8-43D0-B5B0-B4554273B42B}"/>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0FD8-43D0-B5B0-B4554273B42B}"/>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0FD8-43D0-B5B0-B4554273B42B}"/>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0FD8-43D0-B5B0-B4554273B42B}"/>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0FD8-43D0-B5B0-B4554273B42B}"/>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0FD8-43D0-B5B0-B4554273B42B}"/>
              </c:ext>
            </c:extLst>
          </c:dPt>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0"/>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multiLvlStrRef>
              <c:f>'EC2'!$A$34:$A$40</c:f>
            </c:multiLvlStrRef>
          </c:cat>
          <c:val>
            <c:numRef>
              <c:f>'EC2'!$B$34:$B$40</c:f>
            </c:numRef>
          </c:val>
          <c:extLst>
            <c:ext xmlns:c16="http://schemas.microsoft.com/office/drawing/2014/chart" uri="{C3380CC4-5D6E-409C-BE32-E72D297353CC}">
              <c16:uniqueId val="{0000000E-0FD8-43D0-B5B0-B4554273B42B}"/>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5" dropStyle="combo" dx="16" fmlaLink="Input!$E$21" fmlaRange="Input!$B$22:$B$26" noThreeD="1" sel="3" val="0"/>
</file>

<file path=xl/ctrlProps/ctrlProp2.xml><?xml version="1.0" encoding="utf-8"?>
<formControlPr xmlns="http://schemas.microsoft.com/office/spreadsheetml/2009/9/main" objectType="Drop" dropLines="10" dropStyle="combo" dx="16" fmlaLink="Input!$E$29" fmlaRange="Input!$B$32:$B$41" noThreeD="1" sel="1" val="0"/>
</file>

<file path=xl/ctrlProps/ctrlProp3.xml><?xml version="1.0" encoding="utf-8"?>
<formControlPr xmlns="http://schemas.microsoft.com/office/spreadsheetml/2009/9/main" objectType="Drop" dropLines="4" dropStyle="combo" dx="16" fmlaLink="Input!$E$43" fmlaRange="Input!$B$44:$B$47" noThreeD="1" sel="1" val="0"/>
</file>

<file path=xl/ctrlProps/ctrlProp4.xml><?xml version="1.0" encoding="utf-8"?>
<formControlPr xmlns="http://schemas.microsoft.com/office/spreadsheetml/2009/9/main" objectType="Drop" dropLines="5" dropStyle="combo" dx="16" fmlaLink="Input!$E$13" fmlaRange="Input!$B$14:$B$18" noThreeD="1" sel="1" val="0"/>
</file>

<file path=xl/ctrlProps/ctrlProp5.xml><?xml version="1.0" encoding="utf-8"?>
<formControlPr xmlns="http://schemas.microsoft.com/office/spreadsheetml/2009/9/main" objectType="Drop" dropLines="3" dropStyle="combo" dx="16" fmlaLink="Input!$E$50" fmlaRange="Input!$B$51:$B$53" noThreeD="1" sel="1" val="0"/>
</file>

<file path=xl/ctrlProps/ctrlProp6.xml><?xml version="1.0" encoding="utf-8"?>
<formControlPr xmlns="http://schemas.microsoft.com/office/spreadsheetml/2009/9/main" objectType="Drop" dropLines="3" dropStyle="combo" dx="16" fmlaLink="Input!$E$2" fmlaRange="Input!$B$3:$B$5" noThreeD="1" sel="1" val="0"/>
</file>

<file path=xl/ctrlProps/ctrlProp7.xml><?xml version="1.0" encoding="utf-8"?>
<formControlPr xmlns="http://schemas.microsoft.com/office/spreadsheetml/2009/9/main" objectType="Drop" dropLines="3" dropStyle="combo" dx="16" fmlaLink="Input!$E$7" fmlaRange="Input!$B$8:$B$10" noThreeD="1" sel="1" val="0"/>
</file>

<file path=xl/ctrlProps/ctrlProp8.xml><?xml version="1.0" encoding="utf-8"?>
<formControlPr xmlns="http://schemas.microsoft.com/office/spreadsheetml/2009/9/main" objectType="Radio" checked="Checked" firstButton="1" fmlaLink="Input!$A$57" lockText="1"/>
</file>

<file path=xl/ctrlProps/ctrlProp9.xml><?xml version="1.0" encoding="utf-8"?>
<formControlPr xmlns="http://schemas.microsoft.com/office/spreadsheetml/2009/9/main" objectType="Radio" lockText="1"/>
</file>

<file path=xl/ctrlProps/ctrlProp10.xml><?xml version="1.0" encoding="utf-8"?>
<formControlPr xmlns="http://schemas.microsoft.com/office/spreadsheetml/2009/9/main" objectType="Radio" lockText="1"/>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3.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13</xdr:col>
      <xdr:colOff>287337</xdr:colOff>
      <xdr:row>1</xdr:row>
      <xdr:rowOff>165003</xdr:rowOff>
    </xdr:from>
    <xdr:to>
      <xdr:col>15</xdr:col>
      <xdr:colOff>163115</xdr:colOff>
      <xdr:row>3</xdr:row>
      <xdr:rowOff>28802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534275" y="347566"/>
          <a:ext cx="1442641" cy="31147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0</xdr:colOff>
          <xdr:row>32</xdr:row>
          <xdr:rowOff>177800</xdr:rowOff>
        </xdr:from>
        <xdr:to>
          <xdr:col>14</xdr:col>
          <xdr:colOff>368300</xdr:colOff>
          <xdr:row>34</xdr:row>
          <xdr:rowOff>12700</xdr:rowOff>
        </xdr:to>
        <xdr:sp macro="" textlink="">
          <xdr:nvSpPr>
            <xdr:cNvPr id="8193" name="Drop Down 1"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75</xdr:row>
          <xdr:rowOff>0</xdr:rowOff>
        </xdr:from>
        <xdr:to>
          <xdr:col>7</xdr:col>
          <xdr:colOff>596900</xdr:colOff>
          <xdr:row>75</xdr:row>
          <xdr:rowOff>177800</xdr:rowOff>
        </xdr:to>
        <xdr:sp macro="" textlink="">
          <xdr:nvSpPr>
            <xdr:cNvPr id="8195" name="Drop Down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79</xdr:row>
          <xdr:rowOff>0</xdr:rowOff>
        </xdr:from>
        <xdr:to>
          <xdr:col>8</xdr:col>
          <xdr:colOff>0</xdr:colOff>
          <xdr:row>79</xdr:row>
          <xdr:rowOff>177800</xdr:rowOff>
        </xdr:to>
        <xdr:sp macro="" textlink="">
          <xdr:nvSpPr>
            <xdr:cNvPr id="8196" name="Drop Down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28</xdr:row>
          <xdr:rowOff>177800</xdr:rowOff>
        </xdr:from>
        <xdr:to>
          <xdr:col>8</xdr:col>
          <xdr:colOff>0</xdr:colOff>
          <xdr:row>30</xdr:row>
          <xdr:rowOff>12700</xdr:rowOff>
        </xdr:to>
        <xdr:sp macro="" textlink="">
          <xdr:nvSpPr>
            <xdr:cNvPr id="8197" name="Drop Down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241300</xdr:colOff>
          <xdr:row>59</xdr:row>
          <xdr:rowOff>25400</xdr:rowOff>
        </xdr:from>
        <xdr:to>
          <xdr:col>7</xdr:col>
          <xdr:colOff>596900</xdr:colOff>
          <xdr:row>60</xdr:row>
          <xdr:rowOff>38100</xdr:rowOff>
        </xdr:to>
        <xdr:sp macro="" textlink="">
          <xdr:nvSpPr>
            <xdr:cNvPr id="8198" name="Drop Down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8</xdr:row>
          <xdr:rowOff>177800</xdr:rowOff>
        </xdr:from>
        <xdr:to>
          <xdr:col>8</xdr:col>
          <xdr:colOff>25400</xdr:colOff>
          <xdr:row>10</xdr:row>
          <xdr:rowOff>12700</xdr:rowOff>
        </xdr:to>
        <xdr:sp macro="" textlink="">
          <xdr:nvSpPr>
            <xdr:cNvPr id="8199" name="Drop Down 7" hidden="1">
              <a:extLst>
                <a:ext uri="{63B3BB69-23CF-44E3-9099-C40C66FF867C}">
                  <a14:compatExt spid="_x0000_s8199"/>
                </a:ext>
                <a:ext uri="{FF2B5EF4-FFF2-40B4-BE49-F238E27FC236}">
                  <a16:creationId xmlns:a16="http://schemas.microsoft.com/office/drawing/2014/main" id="{00000000-0008-0000-0000-000007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12</xdr:row>
          <xdr:rowOff>177800</xdr:rowOff>
        </xdr:from>
        <xdr:to>
          <xdr:col>7</xdr:col>
          <xdr:colOff>596900</xdr:colOff>
          <xdr:row>14</xdr:row>
          <xdr:rowOff>12700</xdr:rowOff>
        </xdr:to>
        <xdr:sp macro="" textlink="">
          <xdr:nvSpPr>
            <xdr:cNvPr id="8201" name="Drop Down 9" hidden="1">
              <a:extLst>
                <a:ext uri="{63B3BB69-23CF-44E3-9099-C40C66FF867C}">
                  <a14:compatExt spid="_x0000_s8201"/>
                </a:ext>
                <a:ext uri="{FF2B5EF4-FFF2-40B4-BE49-F238E27FC236}">
                  <a16:creationId xmlns:a16="http://schemas.microsoft.com/office/drawing/2014/main" id="{00000000-0008-0000-0000-000009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4</xdr:col>
      <xdr:colOff>417512</xdr:colOff>
      <xdr:row>134</xdr:row>
      <xdr:rowOff>96837</xdr:rowOff>
    </xdr:from>
    <xdr:to>
      <xdr:col>12</xdr:col>
      <xdr:colOff>266700</xdr:colOff>
      <xdr:row>149</xdr:row>
      <xdr:rowOff>28575</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editAs="oneCell">
        <xdr:from>
          <xdr:col>2</xdr:col>
          <xdr:colOff>50800</xdr:colOff>
          <xdr:row>46</xdr:row>
          <xdr:rowOff>0</xdr:rowOff>
        </xdr:from>
        <xdr:to>
          <xdr:col>6</xdr:col>
          <xdr:colOff>482600</xdr:colOff>
          <xdr:row>47</xdr:row>
          <xdr:rowOff>63500</xdr:rowOff>
        </xdr:to>
        <xdr:sp macro="" textlink="">
          <xdr:nvSpPr>
            <xdr:cNvPr id="8202" name="Option Button 10" descr="Use recommended storage dimensioning " hidden="1">
              <a:extLst>
                <a:ext uri="{63B3BB69-23CF-44E3-9099-C40C66FF867C}">
                  <a14:compatExt spid="_x0000_s8202"/>
                </a:ext>
                <a:ext uri="{FF2B5EF4-FFF2-40B4-BE49-F238E27FC236}">
                  <a16:creationId xmlns:a16="http://schemas.microsoft.com/office/drawing/2014/main" id="{00000000-0008-0000-0000-00000A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Segoe UI"/>
                  <a:cs typeface="Segoe UI"/>
                </a:rPr>
                <a:t>Use FSx recommended storage dimensioning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47</xdr:row>
          <xdr:rowOff>25400</xdr:rowOff>
        </xdr:from>
        <xdr:to>
          <xdr:col>5</xdr:col>
          <xdr:colOff>596900</xdr:colOff>
          <xdr:row>48</xdr:row>
          <xdr:rowOff>63500</xdr:rowOff>
        </xdr:to>
        <xdr:sp macro="" textlink="">
          <xdr:nvSpPr>
            <xdr:cNvPr id="8203" name="Option Button 11" descr="Use customized values" hidden="1">
              <a:extLst>
                <a:ext uri="{63B3BB69-23CF-44E3-9099-C40C66FF867C}">
                  <a14:compatExt spid="_x0000_s8203"/>
                </a:ext>
                <a:ext uri="{FF2B5EF4-FFF2-40B4-BE49-F238E27FC236}">
                  <a16:creationId xmlns:a16="http://schemas.microsoft.com/office/drawing/2014/main" id="{00000000-0008-0000-00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Segoe UI"/>
                  <a:cs typeface="Segoe UI"/>
                </a:rPr>
                <a:t>Use FSx customized values (specify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48</xdr:row>
          <xdr:rowOff>25400</xdr:rowOff>
        </xdr:from>
        <xdr:to>
          <xdr:col>6</xdr:col>
          <xdr:colOff>596900</xdr:colOff>
          <xdr:row>49</xdr:row>
          <xdr:rowOff>63500</xdr:rowOff>
        </xdr:to>
        <xdr:sp macro="" textlink="">
          <xdr:nvSpPr>
            <xdr:cNvPr id="8204" name="Option Button 12" descr="Use customized values" hidden="1">
              <a:extLst>
                <a:ext uri="{63B3BB69-23CF-44E3-9099-C40C66FF867C}">
                  <a14:compatExt spid="_x0000_s8204"/>
                </a:ext>
                <a:ext uri="{FF2B5EF4-FFF2-40B4-BE49-F238E27FC236}">
                  <a16:creationId xmlns:a16="http://schemas.microsoft.com/office/drawing/2014/main" id="{00000000-0008-0000-0000-00000C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Segoe UI"/>
                  <a:cs typeface="Segoe UI"/>
                </a:rPr>
                <a:t>Use S3 Storage option (specify on Separate Tab))</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13</xdr:col>
      <xdr:colOff>613061</xdr:colOff>
      <xdr:row>0</xdr:row>
      <xdr:rowOff>238607</xdr:rowOff>
    </xdr:from>
    <xdr:to>
      <xdr:col>15</xdr:col>
      <xdr:colOff>494138</xdr:colOff>
      <xdr:row>2</xdr:row>
      <xdr:rowOff>63500</xdr:rowOff>
    </xdr:to>
    <xdr:pic>
      <xdr:nvPicPr>
        <xdr:cNvPr id="3" name="Graphic 10">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8245761" y="238607"/>
          <a:ext cx="1392377" cy="447193"/>
        </a:xfrm>
        <a:prstGeom prst="rect">
          <a:avLst/>
        </a:prstGeom>
      </xdr:spPr>
    </xdr:pic>
    <xdr:clientData/>
  </xdr:twoCellAnchor>
  <xdr:twoCellAnchor>
    <xdr:from>
      <xdr:col>3</xdr:col>
      <xdr:colOff>429491</xdr:colOff>
      <xdr:row>53</xdr:row>
      <xdr:rowOff>177801</xdr:rowOff>
    </xdr:from>
    <xdr:to>
      <xdr:col>10</xdr:col>
      <xdr:colOff>660400</xdr:colOff>
      <xdr:row>67</xdr:row>
      <xdr:rowOff>143933</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59</xdr:row>
      <xdr:rowOff>123824</xdr:rowOff>
    </xdr:from>
    <xdr:to>
      <xdr:col>2</xdr:col>
      <xdr:colOff>342900</xdr:colOff>
      <xdr:row>74</xdr:row>
      <xdr:rowOff>152399</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93865</xdr:colOff>
      <xdr:row>32</xdr:row>
      <xdr:rowOff>0</xdr:rowOff>
    </xdr:from>
    <xdr:to>
      <xdr:col>10</xdr:col>
      <xdr:colOff>339437</xdr:colOff>
      <xdr:row>44</xdr:row>
      <xdr:rowOff>173182</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E25D8-0AD3-4364-92F4-DE140A46A5A0}">
  <sheetPr>
    <pageSetUpPr fitToPage="1"/>
  </sheetPr>
  <dimension ref="A1:AP155"/>
  <sheetViews>
    <sheetView showGridLines="0" showRowColHeaders="0" tabSelected="1" topLeftCell="A9" zoomScaleNormal="100" workbookViewId="0">
      <selection activeCell="C88" sqref="C88:H88"/>
    </sheetView>
  </sheetViews>
  <sheetFormatPr baseColWidth="10" defaultColWidth="9" defaultRowHeight="15" x14ac:dyDescent="0.2"/>
  <cols>
    <col min="1" max="1" width="6.6640625" customWidth="1"/>
    <col min="2" max="2" width="3.33203125" customWidth="1"/>
    <col min="4" max="4" width="5.1640625" customWidth="1"/>
    <col min="5" max="5" width="7.33203125" customWidth="1"/>
    <col min="7" max="7" width="14.6640625" customWidth="1"/>
    <col min="8" max="8" width="8.33203125" customWidth="1"/>
    <col min="9" max="9" width="1.33203125" customWidth="1"/>
    <col min="14" max="14" width="12.83203125" bestFit="1" customWidth="1"/>
    <col min="16" max="16" width="3.33203125" customWidth="1"/>
    <col min="17" max="17" width="6.6640625" customWidth="1"/>
  </cols>
  <sheetData>
    <row r="1" spans="1:42" x14ac:dyDescent="0.2">
      <c r="A1" s="65"/>
      <c r="B1" s="65"/>
      <c r="C1" s="65"/>
      <c r="D1" s="65"/>
      <c r="E1" s="65"/>
      <c r="F1" s="65"/>
      <c r="G1" s="65"/>
      <c r="H1" s="65"/>
      <c r="I1" s="65"/>
      <c r="J1" s="65"/>
      <c r="K1" s="65"/>
      <c r="L1" s="65"/>
      <c r="M1" s="65"/>
      <c r="N1" s="65"/>
      <c r="O1" s="65"/>
      <c r="P1" s="65"/>
      <c r="Q1" s="65"/>
      <c r="R1" s="81"/>
      <c r="S1" s="81"/>
      <c r="T1" s="81"/>
      <c r="U1" s="81"/>
      <c r="V1" s="81"/>
      <c r="W1" s="81"/>
      <c r="X1" s="81"/>
      <c r="Y1" s="81"/>
      <c r="Z1" s="81"/>
      <c r="AA1" s="81"/>
      <c r="AB1" s="81"/>
      <c r="AC1" s="81"/>
      <c r="AD1" s="81"/>
      <c r="AE1" s="81"/>
      <c r="AF1" s="81"/>
      <c r="AG1" s="81"/>
      <c r="AH1" s="81"/>
      <c r="AI1" s="81"/>
      <c r="AJ1" s="81"/>
      <c r="AK1" s="81"/>
      <c r="AL1" s="81"/>
      <c r="AM1" s="81"/>
      <c r="AN1" s="81"/>
      <c r="AO1" s="81"/>
      <c r="AP1" s="81"/>
    </row>
    <row r="2" spans="1:42" x14ac:dyDescent="0.2">
      <c r="A2" s="65"/>
      <c r="B2" s="65"/>
      <c r="C2" s="65"/>
      <c r="D2" s="65"/>
      <c r="E2" s="65"/>
      <c r="F2" s="65"/>
      <c r="G2" s="65"/>
      <c r="H2" s="65"/>
      <c r="I2" s="65"/>
      <c r="J2" s="65"/>
      <c r="K2" s="65"/>
      <c r="L2" s="65"/>
      <c r="M2" s="65"/>
      <c r="N2" s="65"/>
      <c r="O2" s="65"/>
      <c r="P2" s="65"/>
      <c r="Q2" s="65"/>
      <c r="R2" s="81"/>
      <c r="S2" s="81"/>
      <c r="T2" s="81"/>
      <c r="U2" s="81"/>
      <c r="V2" s="81"/>
      <c r="W2" s="81"/>
      <c r="X2" s="81"/>
      <c r="Y2" s="81"/>
      <c r="Z2" s="81"/>
      <c r="AA2" s="81"/>
      <c r="AB2" s="81"/>
      <c r="AC2" s="81"/>
      <c r="AD2" s="81"/>
      <c r="AE2" s="81"/>
      <c r="AF2" s="81"/>
      <c r="AG2" s="81"/>
      <c r="AH2" s="81"/>
      <c r="AI2" s="81"/>
      <c r="AJ2" s="81"/>
      <c r="AK2" s="81"/>
      <c r="AL2" s="81"/>
      <c r="AM2" s="81"/>
      <c r="AN2" s="81"/>
      <c r="AO2" s="81"/>
      <c r="AP2" s="81"/>
    </row>
    <row r="3" spans="1:42" ht="20" x14ac:dyDescent="0.25">
      <c r="A3" s="65"/>
      <c r="B3" s="82" t="s">
        <v>183</v>
      </c>
      <c r="C3" s="65"/>
      <c r="D3" s="65"/>
      <c r="E3" s="65"/>
      <c r="F3" s="65"/>
      <c r="G3" s="65"/>
      <c r="H3" s="65"/>
      <c r="I3" s="65"/>
      <c r="J3" s="65"/>
      <c r="K3" s="65"/>
      <c r="L3" s="65"/>
      <c r="M3" s="65"/>
      <c r="N3" s="65"/>
      <c r="O3" s="65"/>
      <c r="P3" s="65"/>
      <c r="Q3" s="65"/>
      <c r="R3" s="81"/>
      <c r="S3" s="81"/>
      <c r="T3" s="81"/>
      <c r="U3" s="81"/>
      <c r="V3" s="81"/>
      <c r="W3" s="81"/>
      <c r="X3" s="81"/>
      <c r="Y3" s="81"/>
      <c r="Z3" s="81"/>
      <c r="AA3" s="81"/>
      <c r="AB3" s="81"/>
      <c r="AC3" s="81"/>
      <c r="AD3" s="81"/>
      <c r="AE3" s="81"/>
      <c r="AF3" s="81"/>
      <c r="AG3" s="81"/>
      <c r="AH3" s="81"/>
      <c r="AI3" s="81"/>
      <c r="AJ3" s="81"/>
      <c r="AK3" s="81"/>
      <c r="AL3" s="81"/>
      <c r="AM3" s="81"/>
      <c r="AN3" s="81"/>
      <c r="AO3" s="81"/>
      <c r="AP3" s="81"/>
    </row>
    <row r="4" spans="1:42" x14ac:dyDescent="0.2">
      <c r="A4" s="65"/>
      <c r="B4" s="65"/>
      <c r="C4" s="65"/>
      <c r="D4" s="65"/>
      <c r="E4" s="65"/>
      <c r="F4" s="65"/>
      <c r="G4" s="65"/>
      <c r="H4" s="65"/>
      <c r="I4" s="65"/>
      <c r="J4" s="65"/>
      <c r="K4" s="65"/>
      <c r="L4" s="65"/>
      <c r="M4" s="65"/>
      <c r="N4" s="65"/>
      <c r="O4" s="65"/>
      <c r="P4" s="65"/>
      <c r="Q4" s="65"/>
      <c r="R4" s="81"/>
      <c r="S4" s="81"/>
      <c r="T4" s="81"/>
      <c r="U4" s="81"/>
      <c r="V4" s="81"/>
      <c r="W4" s="81"/>
      <c r="X4" s="81"/>
      <c r="Y4" s="81"/>
      <c r="Z4" s="81"/>
      <c r="AA4" s="81"/>
      <c r="AB4" s="81"/>
      <c r="AC4" s="81"/>
      <c r="AD4" s="81"/>
      <c r="AE4" s="81"/>
      <c r="AF4" s="81"/>
      <c r="AG4" s="81"/>
      <c r="AH4" s="81"/>
      <c r="AI4" s="81"/>
      <c r="AJ4" s="81"/>
      <c r="AK4" s="81"/>
      <c r="AL4" s="81"/>
      <c r="AM4" s="81"/>
      <c r="AN4" s="81"/>
      <c r="AO4" s="81"/>
      <c r="AP4" s="81"/>
    </row>
    <row r="5" spans="1:42" x14ac:dyDescent="0.2">
      <c r="A5" s="65"/>
      <c r="B5" s="65"/>
      <c r="C5" s="65"/>
      <c r="D5" s="65"/>
      <c r="E5" s="65"/>
      <c r="F5" s="65"/>
      <c r="G5" s="65"/>
      <c r="H5" s="65"/>
      <c r="I5" s="65"/>
      <c r="J5" s="65"/>
      <c r="K5" s="65"/>
      <c r="L5" s="65"/>
      <c r="M5" s="65"/>
      <c r="N5" s="65"/>
      <c r="O5" s="65"/>
      <c r="P5" s="65"/>
      <c r="Q5" s="65"/>
      <c r="R5" s="81"/>
      <c r="S5" s="81"/>
      <c r="T5" s="81"/>
      <c r="U5" s="81"/>
      <c r="V5" s="81"/>
      <c r="W5" s="81"/>
      <c r="X5" s="81"/>
      <c r="Y5" s="81"/>
      <c r="Z5" s="81"/>
      <c r="AA5" s="81"/>
      <c r="AB5" s="81"/>
      <c r="AC5" s="81"/>
      <c r="AD5" s="81"/>
      <c r="AE5" s="81"/>
      <c r="AF5" s="81"/>
      <c r="AG5" s="81"/>
      <c r="AH5" s="81"/>
      <c r="AI5" s="81"/>
      <c r="AJ5" s="81"/>
      <c r="AK5" s="81"/>
      <c r="AL5" s="81"/>
      <c r="AM5" s="81"/>
      <c r="AN5" s="81"/>
      <c r="AO5" s="81"/>
      <c r="AP5" s="81"/>
    </row>
    <row r="6" spans="1:42" ht="27" customHeight="1" x14ac:dyDescent="0.2">
      <c r="A6" s="65"/>
      <c r="B6" s="83"/>
      <c r="C6" s="84" t="s">
        <v>133</v>
      </c>
      <c r="D6" s="84"/>
      <c r="E6" s="84"/>
      <c r="F6" s="85"/>
      <c r="G6" s="85"/>
      <c r="H6" s="85"/>
      <c r="I6" s="85"/>
      <c r="J6" s="85"/>
      <c r="K6" s="85"/>
      <c r="L6" s="85"/>
      <c r="M6" s="85"/>
      <c r="N6" s="85"/>
      <c r="O6" s="85"/>
      <c r="P6" s="86"/>
      <c r="Q6" s="65"/>
      <c r="R6" s="81"/>
      <c r="S6" s="81"/>
      <c r="T6" s="81"/>
      <c r="U6" s="81"/>
      <c r="V6" s="81"/>
      <c r="W6" s="81"/>
      <c r="X6" s="81"/>
      <c r="Y6" s="81"/>
      <c r="Z6" s="81"/>
      <c r="AA6" s="81"/>
      <c r="AB6" s="81"/>
      <c r="AC6" s="81"/>
      <c r="AD6" s="81"/>
      <c r="AE6" s="81"/>
      <c r="AF6" s="81"/>
      <c r="AG6" s="81"/>
      <c r="AH6" s="81"/>
      <c r="AI6" s="81"/>
      <c r="AJ6" s="81"/>
      <c r="AK6" s="81"/>
      <c r="AL6" s="81"/>
      <c r="AM6" s="81"/>
      <c r="AN6" s="81"/>
      <c r="AO6" s="81"/>
      <c r="AP6" s="81"/>
    </row>
    <row r="7" spans="1:42" x14ac:dyDescent="0.2">
      <c r="A7" s="65"/>
      <c r="B7" s="87"/>
      <c r="C7" s="81"/>
      <c r="D7" s="81"/>
      <c r="E7" s="81"/>
      <c r="F7" s="81"/>
      <c r="G7" s="81"/>
      <c r="H7" s="81"/>
      <c r="I7" s="81"/>
      <c r="J7" s="81"/>
      <c r="K7" s="81"/>
      <c r="L7" s="81"/>
      <c r="M7" s="81"/>
      <c r="N7" s="81"/>
      <c r="O7" s="81"/>
      <c r="P7" s="88"/>
      <c r="Q7" s="65"/>
      <c r="R7" s="81"/>
      <c r="S7" s="81"/>
      <c r="T7" s="81"/>
      <c r="U7" s="81"/>
      <c r="V7" s="81"/>
      <c r="W7" s="81"/>
      <c r="X7" s="81"/>
      <c r="Y7" s="81"/>
      <c r="Z7" s="81"/>
      <c r="AA7" s="81"/>
      <c r="AB7" s="81"/>
      <c r="AC7" s="81"/>
      <c r="AD7" s="81"/>
      <c r="AE7" s="81"/>
      <c r="AF7" s="81"/>
      <c r="AG7" s="81"/>
      <c r="AH7" s="81"/>
      <c r="AI7" s="81"/>
      <c r="AJ7" s="81"/>
      <c r="AK7" s="81"/>
      <c r="AL7" s="81"/>
      <c r="AM7" s="81"/>
      <c r="AN7" s="81"/>
      <c r="AO7" s="81"/>
      <c r="AP7" s="81"/>
    </row>
    <row r="8" spans="1:42" x14ac:dyDescent="0.2">
      <c r="A8" s="65"/>
      <c r="B8" s="87"/>
      <c r="C8" s="89" t="s">
        <v>134</v>
      </c>
      <c r="D8" s="89"/>
      <c r="E8" s="89"/>
      <c r="F8" s="81"/>
      <c r="G8" s="81"/>
      <c r="H8" s="81"/>
      <c r="I8" s="81"/>
      <c r="J8" s="81"/>
      <c r="K8" s="81"/>
      <c r="L8" s="81"/>
      <c r="M8" s="81"/>
      <c r="N8" s="81"/>
      <c r="O8" s="81"/>
      <c r="P8" s="88"/>
      <c r="Q8" s="65"/>
      <c r="R8" s="81"/>
      <c r="S8" s="81"/>
      <c r="T8" s="81"/>
      <c r="U8" s="81"/>
      <c r="V8" s="81"/>
      <c r="W8" s="81"/>
      <c r="X8" s="81"/>
      <c r="Y8" s="81"/>
      <c r="Z8" s="81"/>
      <c r="AA8" s="81"/>
      <c r="AB8" s="81"/>
      <c r="AC8" s="81"/>
      <c r="AD8" s="81"/>
      <c r="AE8" s="81"/>
      <c r="AF8" s="81"/>
      <c r="AG8" s="81"/>
      <c r="AH8" s="81"/>
      <c r="AI8" s="81"/>
      <c r="AJ8" s="81"/>
      <c r="AK8" s="81"/>
      <c r="AL8" s="81"/>
      <c r="AM8" s="81"/>
      <c r="AN8" s="81"/>
      <c r="AO8" s="81"/>
      <c r="AP8" s="81"/>
    </row>
    <row r="9" spans="1:42" x14ac:dyDescent="0.2">
      <c r="A9" s="65"/>
      <c r="B9" s="87"/>
      <c r="C9" s="67" t="s">
        <v>154</v>
      </c>
      <c r="D9" s="90"/>
      <c r="E9" s="90"/>
      <c r="F9" s="81"/>
      <c r="G9" s="81"/>
      <c r="H9" s="81"/>
      <c r="I9" s="81"/>
      <c r="J9" s="81"/>
      <c r="K9" s="81"/>
      <c r="L9" s="81"/>
      <c r="M9" s="81"/>
      <c r="N9" s="81"/>
      <c r="O9" s="81"/>
      <c r="P9" s="88"/>
      <c r="Q9" s="65"/>
      <c r="R9" s="81"/>
      <c r="S9" s="81"/>
      <c r="T9" s="81"/>
      <c r="U9" s="81"/>
      <c r="V9" s="81"/>
      <c r="W9" s="81"/>
      <c r="X9" s="81"/>
      <c r="Y9" s="81"/>
      <c r="Z9" s="81"/>
      <c r="AA9" s="81"/>
      <c r="AB9" s="81"/>
      <c r="AC9" s="81"/>
      <c r="AD9" s="81"/>
      <c r="AE9" s="81"/>
      <c r="AF9" s="81"/>
      <c r="AG9" s="81"/>
      <c r="AH9" s="81"/>
      <c r="AI9" s="81"/>
      <c r="AJ9" s="81"/>
      <c r="AK9" s="81"/>
      <c r="AL9" s="81"/>
      <c r="AM9" s="81"/>
      <c r="AN9" s="81"/>
      <c r="AO9" s="81"/>
      <c r="AP9" s="81"/>
    </row>
    <row r="10" spans="1:42" x14ac:dyDescent="0.2">
      <c r="A10" s="65"/>
      <c r="B10" s="87"/>
      <c r="C10" s="249"/>
      <c r="D10" s="249"/>
      <c r="E10" s="249"/>
      <c r="F10" s="249"/>
      <c r="G10" s="249"/>
      <c r="H10" s="249"/>
      <c r="I10" s="81"/>
      <c r="J10" s="81"/>
      <c r="K10" s="81"/>
      <c r="L10" s="81"/>
      <c r="M10" s="81"/>
      <c r="N10" s="81"/>
      <c r="O10" s="81"/>
      <c r="P10" s="88"/>
      <c r="Q10" s="65"/>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row>
    <row r="11" spans="1:42" x14ac:dyDescent="0.2">
      <c r="A11" s="65"/>
      <c r="B11" s="87"/>
      <c r="C11" s="71"/>
      <c r="D11" s="71"/>
      <c r="E11" s="71"/>
      <c r="F11" s="71"/>
      <c r="G11" s="71"/>
      <c r="H11" s="71"/>
      <c r="I11" s="81"/>
      <c r="J11" s="81"/>
      <c r="K11" s="81"/>
      <c r="L11" s="81"/>
      <c r="M11" s="81"/>
      <c r="N11" s="81"/>
      <c r="O11" s="81"/>
      <c r="P11" s="88"/>
      <c r="Q11" s="65"/>
      <c r="R11" s="81"/>
      <c r="S11" s="81"/>
      <c r="T11" s="81"/>
      <c r="U11" s="81"/>
      <c r="V11" s="81"/>
      <c r="W11" s="81"/>
      <c r="X11" s="81"/>
      <c r="Y11" s="81"/>
      <c r="Z11" s="81"/>
      <c r="AA11" s="81"/>
      <c r="AB11" s="81"/>
      <c r="AC11" s="81"/>
      <c r="AD11" s="81"/>
      <c r="AE11" s="81"/>
      <c r="AF11" s="81"/>
      <c r="AG11" s="81"/>
      <c r="AH11" s="81"/>
      <c r="AI11" s="81"/>
      <c r="AJ11" s="81"/>
      <c r="AK11" s="81"/>
      <c r="AL11" s="81"/>
      <c r="AM11" s="81"/>
      <c r="AN11" s="81"/>
      <c r="AO11" s="81"/>
      <c r="AP11" s="81"/>
    </row>
    <row r="12" spans="1:42" x14ac:dyDescent="0.2">
      <c r="A12" s="65"/>
      <c r="B12" s="87"/>
      <c r="C12" s="89" t="s">
        <v>138</v>
      </c>
      <c r="D12" s="89"/>
      <c r="E12" s="89"/>
      <c r="F12" s="81"/>
      <c r="G12" s="81"/>
      <c r="H12" s="81"/>
      <c r="I12" s="81"/>
      <c r="J12" s="81"/>
      <c r="K12" s="81"/>
      <c r="L12" s="81"/>
      <c r="M12" s="81"/>
      <c r="N12" s="81"/>
      <c r="O12" s="81"/>
      <c r="P12" s="88"/>
      <c r="Q12" s="65"/>
      <c r="R12" s="81"/>
      <c r="S12" s="81"/>
      <c r="T12" s="81"/>
      <c r="U12" s="81"/>
      <c r="V12" s="81"/>
      <c r="W12" s="81"/>
      <c r="X12" s="81"/>
      <c r="Y12" s="81"/>
      <c r="Z12" s="81"/>
      <c r="AA12" s="81"/>
      <c r="AB12" s="81"/>
      <c r="AC12" s="81"/>
      <c r="AD12" s="81"/>
      <c r="AE12" s="81"/>
      <c r="AF12" s="81"/>
      <c r="AG12" s="81"/>
      <c r="AH12" s="81"/>
      <c r="AI12" s="81"/>
      <c r="AJ12" s="81"/>
      <c r="AK12" s="81"/>
      <c r="AL12" s="81"/>
      <c r="AM12" s="81"/>
      <c r="AN12" s="81"/>
      <c r="AO12" s="81"/>
      <c r="AP12" s="81"/>
    </row>
    <row r="13" spans="1:42" x14ac:dyDescent="0.2">
      <c r="A13" s="65"/>
      <c r="B13" s="87"/>
      <c r="C13" s="67" t="s">
        <v>139</v>
      </c>
      <c r="D13" s="90"/>
      <c r="E13" s="90"/>
      <c r="F13" s="81"/>
      <c r="G13" s="81"/>
      <c r="H13" s="81"/>
      <c r="I13" s="81"/>
      <c r="J13" s="81"/>
      <c r="K13" s="81"/>
      <c r="L13" s="81"/>
      <c r="M13" s="81"/>
      <c r="N13" s="81"/>
      <c r="O13" s="81"/>
      <c r="P13" s="88"/>
      <c r="Q13" s="65"/>
      <c r="R13" s="81"/>
      <c r="S13" s="81"/>
      <c r="T13" s="81"/>
      <c r="U13" s="81"/>
      <c r="V13" s="81"/>
      <c r="W13" s="81"/>
      <c r="X13" s="81"/>
      <c r="Y13" s="81"/>
      <c r="Z13" s="81"/>
      <c r="AA13" s="81"/>
      <c r="AB13" s="81"/>
      <c r="AC13" s="81"/>
      <c r="AD13" s="81"/>
      <c r="AE13" s="81"/>
      <c r="AF13" s="81"/>
      <c r="AG13" s="81"/>
      <c r="AH13" s="81"/>
      <c r="AI13" s="81"/>
      <c r="AJ13" s="81"/>
      <c r="AK13" s="81"/>
      <c r="AL13" s="81"/>
      <c r="AM13" s="81"/>
      <c r="AN13" s="81"/>
      <c r="AO13" s="81"/>
      <c r="AP13" s="81"/>
    </row>
    <row r="14" spans="1:42" x14ac:dyDescent="0.2">
      <c r="A14" s="65"/>
      <c r="B14" s="87"/>
      <c r="C14" s="249">
        <v>200</v>
      </c>
      <c r="D14" s="249"/>
      <c r="E14" s="249"/>
      <c r="F14" s="249"/>
      <c r="G14" s="249"/>
      <c r="H14" s="249"/>
      <c r="I14" s="81"/>
      <c r="J14" s="81"/>
      <c r="K14" s="81"/>
      <c r="L14" s="81"/>
      <c r="M14" s="81"/>
      <c r="N14" s="81"/>
      <c r="O14" s="81"/>
      <c r="P14" s="88"/>
      <c r="Q14" s="65"/>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row>
    <row r="15" spans="1:42" ht="19.5" customHeight="1" x14ac:dyDescent="0.2">
      <c r="A15" s="65"/>
      <c r="B15" s="91"/>
      <c r="C15" s="92"/>
      <c r="D15" s="92"/>
      <c r="E15" s="92"/>
      <c r="F15" s="92"/>
      <c r="G15" s="92"/>
      <c r="H15" s="92"/>
      <c r="I15" s="92"/>
      <c r="J15" s="92"/>
      <c r="K15" s="92"/>
      <c r="L15" s="92"/>
      <c r="M15" s="92"/>
      <c r="N15" s="92"/>
      <c r="O15" s="92"/>
      <c r="P15" s="93"/>
      <c r="Q15" s="65"/>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row>
    <row r="16" spans="1:42" x14ac:dyDescent="0.2">
      <c r="A16" s="65"/>
      <c r="B16" s="65"/>
      <c r="C16" s="65"/>
      <c r="D16" s="65"/>
      <c r="E16" s="65"/>
      <c r="F16" s="65"/>
      <c r="G16" s="65"/>
      <c r="H16" s="65"/>
      <c r="I16" s="65"/>
      <c r="J16" s="65"/>
      <c r="K16" s="65"/>
      <c r="L16" s="65"/>
      <c r="M16" s="65"/>
      <c r="N16" s="65"/>
      <c r="O16" s="65"/>
      <c r="P16" s="65"/>
      <c r="Q16" s="65"/>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row>
    <row r="17" spans="1:42" x14ac:dyDescent="0.2">
      <c r="A17" s="65"/>
      <c r="B17" s="65"/>
      <c r="C17" s="65"/>
      <c r="D17" s="65"/>
      <c r="E17" s="65"/>
      <c r="F17" s="65"/>
      <c r="G17" s="65"/>
      <c r="H17" s="65"/>
      <c r="I17" s="65"/>
      <c r="J17" s="65"/>
      <c r="K17" s="65"/>
      <c r="L17" s="65"/>
      <c r="M17" s="65"/>
      <c r="N17" s="65"/>
      <c r="O17" s="65"/>
      <c r="P17" s="65"/>
      <c r="Q17" s="65"/>
      <c r="R17" s="81"/>
      <c r="S17" s="81"/>
      <c r="T17" s="81"/>
      <c r="U17" s="81"/>
      <c r="V17" s="81"/>
      <c r="W17" s="81"/>
      <c r="X17" s="81"/>
      <c r="Y17" s="81"/>
      <c r="Z17" s="81"/>
      <c r="AA17" s="81"/>
      <c r="AB17" s="81"/>
      <c r="AC17" s="81"/>
      <c r="AD17" s="81"/>
      <c r="AE17" s="81"/>
      <c r="AF17" s="81"/>
      <c r="AG17" s="81"/>
      <c r="AH17" s="81"/>
      <c r="AI17" s="81"/>
      <c r="AJ17" s="81"/>
      <c r="AK17" s="81"/>
      <c r="AL17" s="81"/>
      <c r="AM17" s="81"/>
      <c r="AN17" s="81"/>
      <c r="AO17" s="81"/>
      <c r="AP17" s="81"/>
    </row>
    <row r="18" spans="1:42" ht="27" customHeight="1" x14ac:dyDescent="0.2">
      <c r="A18" s="65"/>
      <c r="B18" s="83"/>
      <c r="C18" s="84" t="s">
        <v>184</v>
      </c>
      <c r="D18" s="84"/>
      <c r="E18" s="84"/>
      <c r="F18" s="85"/>
      <c r="G18" s="85"/>
      <c r="H18" s="85"/>
      <c r="I18" s="85"/>
      <c r="J18" s="85"/>
      <c r="K18" s="85"/>
      <c r="L18" s="85"/>
      <c r="M18" s="85"/>
      <c r="N18" s="85"/>
      <c r="O18" s="85"/>
      <c r="P18" s="86"/>
      <c r="Q18" s="65"/>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row>
    <row r="19" spans="1:42" x14ac:dyDescent="0.2">
      <c r="A19" s="65"/>
      <c r="B19" s="87"/>
      <c r="C19" s="81"/>
      <c r="D19" s="81"/>
      <c r="E19" s="81"/>
      <c r="F19" s="81"/>
      <c r="G19" s="81"/>
      <c r="H19" s="81"/>
      <c r="I19" s="81"/>
      <c r="J19" s="81"/>
      <c r="K19" s="81"/>
      <c r="L19" s="81"/>
      <c r="M19" s="81"/>
      <c r="N19" s="81"/>
      <c r="O19" s="81"/>
      <c r="P19" s="88"/>
      <c r="Q19" s="65"/>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row>
    <row r="20" spans="1:42" x14ac:dyDescent="0.2">
      <c r="A20" s="65"/>
      <c r="B20" s="87"/>
      <c r="C20" s="89" t="s">
        <v>101</v>
      </c>
      <c r="D20" s="89"/>
      <c r="E20" s="89"/>
      <c r="F20" s="81"/>
      <c r="G20" s="81"/>
      <c r="H20" s="81"/>
      <c r="I20" s="81"/>
      <c r="J20" s="81"/>
      <c r="K20" s="81"/>
      <c r="L20" s="81"/>
      <c r="M20" s="81"/>
      <c r="N20" s="81"/>
      <c r="O20" s="81"/>
      <c r="P20" s="88"/>
      <c r="Q20" s="65"/>
      <c r="R20" s="81"/>
      <c r="S20" s="81"/>
      <c r="T20" s="81"/>
      <c r="U20" s="81"/>
      <c r="V20" s="81"/>
      <c r="W20" s="81"/>
      <c r="X20" s="81"/>
      <c r="Y20" s="81"/>
      <c r="Z20" s="81"/>
      <c r="AA20" s="81"/>
      <c r="AB20" s="81"/>
      <c r="AC20" s="81"/>
      <c r="AD20" s="81"/>
      <c r="AE20" s="81"/>
      <c r="AF20" s="81"/>
      <c r="AG20" s="81"/>
      <c r="AH20" s="81"/>
      <c r="AI20" s="81"/>
      <c r="AJ20" s="81"/>
      <c r="AK20" s="81"/>
      <c r="AL20" s="81"/>
      <c r="AM20" s="81"/>
      <c r="AN20" s="81"/>
      <c r="AO20" s="81"/>
      <c r="AP20" s="81"/>
    </row>
    <row r="21" spans="1:42" x14ac:dyDescent="0.2">
      <c r="A21" s="65"/>
      <c r="B21" s="87"/>
      <c r="C21" s="67" t="s">
        <v>185</v>
      </c>
      <c r="D21" s="90"/>
      <c r="E21" s="90"/>
      <c r="F21" s="81"/>
      <c r="G21" s="81"/>
      <c r="H21" s="81"/>
      <c r="I21" s="81"/>
      <c r="J21" s="81"/>
      <c r="K21" s="81"/>
      <c r="L21" s="81"/>
      <c r="M21" s="81"/>
      <c r="N21" s="81"/>
      <c r="O21" s="81"/>
      <c r="P21" s="88"/>
      <c r="Q21" s="65"/>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row>
    <row r="22" spans="1:42" x14ac:dyDescent="0.2">
      <c r="A22" s="65"/>
      <c r="B22" s="94"/>
      <c r="C22" s="246"/>
      <c r="D22" s="247"/>
      <c r="E22" s="247"/>
      <c r="F22" s="247"/>
      <c r="G22" s="247"/>
      <c r="H22" s="247"/>
      <c r="I22" s="95"/>
      <c r="J22" s="81"/>
      <c r="K22" s="252" t="str">
        <f>IF(EC2Data=TRUE,IF(EC2_Instance="No Match","The specified number of cameras with the given stream size exceeds the capacity of a single EC2 instance.",""),"")</f>
        <v/>
      </c>
      <c r="L22" s="252"/>
      <c r="M22" s="252"/>
      <c r="N22" s="252"/>
      <c r="O22" s="252"/>
      <c r="P22" s="88"/>
      <c r="Q22" s="65"/>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row>
    <row r="23" spans="1:42" x14ac:dyDescent="0.2">
      <c r="A23" s="65"/>
      <c r="B23" s="87"/>
      <c r="C23" s="81"/>
      <c r="D23" s="81"/>
      <c r="E23" s="81"/>
      <c r="F23" s="81"/>
      <c r="G23" s="81"/>
      <c r="H23" s="81"/>
      <c r="I23" s="81"/>
      <c r="J23" s="81"/>
      <c r="K23" s="252"/>
      <c r="L23" s="252"/>
      <c r="M23" s="252"/>
      <c r="N23" s="252"/>
      <c r="O23" s="252"/>
      <c r="P23" s="88"/>
      <c r="Q23" s="65"/>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row>
    <row r="24" spans="1:42" x14ac:dyDescent="0.2">
      <c r="A24" s="65"/>
      <c r="B24" s="87"/>
      <c r="C24" s="89" t="s">
        <v>102</v>
      </c>
      <c r="D24" s="89"/>
      <c r="E24" s="89"/>
      <c r="F24" s="81"/>
      <c r="G24" s="81"/>
      <c r="H24" s="81"/>
      <c r="I24" s="81"/>
      <c r="J24" s="81"/>
      <c r="K24" s="81"/>
      <c r="L24" s="81"/>
      <c r="M24" s="81"/>
      <c r="N24" s="81"/>
      <c r="O24" s="81"/>
      <c r="P24" s="88"/>
      <c r="Q24" s="65"/>
      <c r="R24" s="81"/>
      <c r="S24" s="81"/>
      <c r="T24" s="81"/>
      <c r="U24" s="81"/>
      <c r="V24" s="81"/>
      <c r="W24" s="81"/>
      <c r="X24" s="81"/>
      <c r="Y24" s="81"/>
      <c r="Z24" s="81"/>
      <c r="AA24" s="81"/>
      <c r="AB24" s="81"/>
      <c r="AC24" s="81"/>
      <c r="AD24" s="81"/>
      <c r="AE24" s="81"/>
      <c r="AF24" s="81"/>
      <c r="AG24" s="81"/>
      <c r="AH24" s="81"/>
      <c r="AI24" s="81"/>
      <c r="AJ24" s="81"/>
      <c r="AK24" s="81"/>
      <c r="AL24" s="81"/>
      <c r="AM24" s="81"/>
      <c r="AN24" s="81"/>
      <c r="AO24" s="81"/>
      <c r="AP24" s="81"/>
    </row>
    <row r="25" spans="1:42" x14ac:dyDescent="0.2">
      <c r="A25" s="65"/>
      <c r="B25" s="87"/>
      <c r="C25" s="67" t="s">
        <v>186</v>
      </c>
      <c r="D25" s="90"/>
      <c r="E25" s="90"/>
      <c r="F25" s="81"/>
      <c r="G25" s="81"/>
      <c r="H25" s="81"/>
      <c r="I25" s="81"/>
      <c r="J25" s="81"/>
      <c r="K25" s="81"/>
      <c r="L25" s="81"/>
      <c r="M25" s="81"/>
      <c r="N25" s="81"/>
      <c r="O25" s="81"/>
      <c r="P25" s="88"/>
      <c r="Q25" s="65"/>
      <c r="R25" s="81"/>
      <c r="S25" s="81"/>
      <c r="T25" s="81"/>
      <c r="U25" s="81"/>
      <c r="V25" s="81"/>
      <c r="W25" s="81"/>
      <c r="X25" s="81"/>
      <c r="Y25" s="81"/>
      <c r="Z25" s="81"/>
      <c r="AA25" s="81"/>
      <c r="AB25" s="81"/>
      <c r="AC25" s="81"/>
      <c r="AD25" s="81"/>
      <c r="AE25" s="81"/>
      <c r="AF25" s="81"/>
      <c r="AG25" s="81"/>
      <c r="AH25" s="81"/>
      <c r="AI25" s="81"/>
      <c r="AJ25" s="81"/>
      <c r="AK25" s="81"/>
      <c r="AL25" s="81"/>
      <c r="AM25" s="81"/>
      <c r="AN25" s="81"/>
      <c r="AO25" s="81"/>
      <c r="AP25" s="81"/>
    </row>
    <row r="26" spans="1:42" x14ac:dyDescent="0.2">
      <c r="A26" s="65"/>
      <c r="B26" s="87"/>
      <c r="C26" s="246"/>
      <c r="D26" s="247"/>
      <c r="E26" s="247"/>
      <c r="F26" s="247"/>
      <c r="G26" s="247"/>
      <c r="H26" s="253"/>
      <c r="I26" s="81"/>
      <c r="J26" s="96" t="s">
        <v>46</v>
      </c>
      <c r="K26" s="81"/>
      <c r="L26" s="81"/>
      <c r="M26" s="81"/>
      <c r="N26" s="81"/>
      <c r="O26" s="81"/>
      <c r="P26" s="88"/>
      <c r="Q26" s="65"/>
      <c r="R26" s="81"/>
      <c r="S26" s="81"/>
      <c r="T26" s="81"/>
      <c r="U26" s="81"/>
      <c r="V26" s="81"/>
      <c r="W26" s="81"/>
      <c r="X26" s="81"/>
      <c r="Y26" s="81"/>
      <c r="Z26" s="81"/>
      <c r="AA26" s="81"/>
      <c r="AB26" s="81"/>
      <c r="AC26" s="81"/>
      <c r="AD26" s="81"/>
      <c r="AE26" s="81"/>
      <c r="AF26" s="81"/>
      <c r="AG26" s="81"/>
      <c r="AH26" s="81"/>
      <c r="AI26" s="81"/>
      <c r="AJ26" s="81"/>
      <c r="AK26" s="81"/>
      <c r="AL26" s="81"/>
      <c r="AM26" s="81"/>
      <c r="AN26" s="81"/>
      <c r="AO26" s="81"/>
      <c r="AP26" s="81"/>
    </row>
    <row r="27" spans="1:42" x14ac:dyDescent="0.2">
      <c r="A27" s="65"/>
      <c r="B27" s="87"/>
      <c r="C27" s="81"/>
      <c r="D27" s="81"/>
      <c r="E27" s="81"/>
      <c r="F27" s="81"/>
      <c r="G27" s="81"/>
      <c r="H27" s="81"/>
      <c r="I27" s="81"/>
      <c r="J27" s="81"/>
      <c r="K27" s="81"/>
      <c r="L27" s="81"/>
      <c r="M27" s="81"/>
      <c r="N27" s="81"/>
      <c r="O27" s="81"/>
      <c r="P27" s="88"/>
      <c r="Q27" s="65"/>
      <c r="R27" s="81"/>
      <c r="S27" s="81"/>
      <c r="T27" s="81"/>
      <c r="U27" s="81"/>
      <c r="V27" s="81"/>
      <c r="W27" s="81"/>
      <c r="X27" s="81"/>
      <c r="Y27" s="81"/>
      <c r="Z27" s="81"/>
      <c r="AA27" s="81"/>
      <c r="AB27" s="81"/>
      <c r="AC27" s="81"/>
      <c r="AD27" s="81"/>
      <c r="AE27" s="81"/>
      <c r="AF27" s="81"/>
      <c r="AG27" s="81"/>
      <c r="AH27" s="81"/>
      <c r="AI27" s="81"/>
      <c r="AJ27" s="81"/>
      <c r="AK27" s="81"/>
      <c r="AL27" s="81"/>
      <c r="AM27" s="81"/>
      <c r="AN27" s="81"/>
      <c r="AO27" s="81"/>
      <c r="AP27" s="81"/>
    </row>
    <row r="28" spans="1:42" x14ac:dyDescent="0.2">
      <c r="A28" s="65"/>
      <c r="B28" s="87"/>
      <c r="C28" s="89" t="s">
        <v>103</v>
      </c>
      <c r="D28" s="89"/>
      <c r="E28" s="89"/>
      <c r="F28" s="81"/>
      <c r="G28" s="81"/>
      <c r="H28" s="81"/>
      <c r="I28" s="81"/>
      <c r="J28" s="81"/>
      <c r="K28" s="81"/>
      <c r="L28" s="81"/>
      <c r="M28" s="81"/>
      <c r="N28" s="81"/>
      <c r="O28" s="81"/>
      <c r="P28" s="88"/>
      <c r="Q28" s="65"/>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row>
    <row r="29" spans="1:42" x14ac:dyDescent="0.2">
      <c r="A29" s="65"/>
      <c r="B29" s="87"/>
      <c r="C29" s="67" t="s">
        <v>187</v>
      </c>
      <c r="D29" s="90"/>
      <c r="E29" s="90"/>
      <c r="F29" s="81"/>
      <c r="G29" s="81"/>
      <c r="H29" s="81"/>
      <c r="I29" s="81"/>
      <c r="J29" s="81"/>
      <c r="K29" s="81"/>
      <c r="L29" s="81"/>
      <c r="M29" s="81"/>
      <c r="N29" s="81"/>
      <c r="O29" s="81"/>
      <c r="P29" s="88"/>
      <c r="Q29" s="65"/>
      <c r="R29" s="81"/>
      <c r="S29" s="81"/>
      <c r="T29" s="81"/>
      <c r="U29" s="81"/>
      <c r="V29" s="81"/>
      <c r="W29" s="81"/>
      <c r="X29" s="81"/>
      <c r="Y29" s="81"/>
      <c r="Z29" s="81"/>
      <c r="AA29" s="81"/>
      <c r="AB29" s="81"/>
      <c r="AC29" s="81"/>
      <c r="AD29" s="81"/>
      <c r="AE29" s="81"/>
      <c r="AF29" s="81"/>
      <c r="AG29" s="81"/>
      <c r="AH29" s="81"/>
      <c r="AI29" s="81"/>
      <c r="AJ29" s="81"/>
      <c r="AK29" s="81"/>
      <c r="AL29" s="81"/>
      <c r="AM29" s="81"/>
      <c r="AN29" s="81"/>
      <c r="AO29" s="81"/>
      <c r="AP29" s="81"/>
    </row>
    <row r="30" spans="1:42" x14ac:dyDescent="0.2">
      <c r="A30" s="65"/>
      <c r="B30" s="87"/>
      <c r="C30" s="249"/>
      <c r="D30" s="249"/>
      <c r="E30" s="249"/>
      <c r="F30" s="249"/>
      <c r="G30" s="249"/>
      <c r="H30" s="249"/>
      <c r="I30" s="81"/>
      <c r="J30" s="96" t="s">
        <v>44</v>
      </c>
      <c r="K30" s="81"/>
      <c r="L30" s="81"/>
      <c r="M30" s="81"/>
      <c r="N30" s="81"/>
      <c r="O30" s="81"/>
      <c r="P30" s="88"/>
      <c r="Q30" s="65"/>
      <c r="R30" s="81"/>
      <c r="S30" s="81"/>
      <c r="T30" s="81"/>
      <c r="U30" s="81"/>
      <c r="V30" s="81"/>
      <c r="W30" s="81"/>
      <c r="X30" s="81"/>
      <c r="Y30" s="81"/>
      <c r="Z30" s="81"/>
      <c r="AA30" s="81"/>
      <c r="AB30" s="81"/>
      <c r="AC30" s="81"/>
      <c r="AD30" s="81"/>
      <c r="AE30" s="81"/>
      <c r="AF30" s="81"/>
      <c r="AG30" s="81"/>
      <c r="AH30" s="81"/>
      <c r="AI30" s="81"/>
      <c r="AJ30" s="81"/>
      <c r="AK30" s="81"/>
      <c r="AL30" s="81"/>
      <c r="AM30" s="81"/>
      <c r="AN30" s="81"/>
      <c r="AO30" s="81"/>
      <c r="AP30" s="81"/>
    </row>
    <row r="31" spans="1:42" x14ac:dyDescent="0.2">
      <c r="A31" s="65"/>
      <c r="B31" s="87"/>
      <c r="C31" s="81"/>
      <c r="D31" s="81"/>
      <c r="E31" s="81"/>
      <c r="F31" s="81"/>
      <c r="G31" s="81"/>
      <c r="H31" s="81"/>
      <c r="I31" s="81"/>
      <c r="J31" s="81"/>
      <c r="K31" s="81"/>
      <c r="L31" s="81"/>
      <c r="M31" s="81"/>
      <c r="N31" s="81"/>
      <c r="O31" s="81"/>
      <c r="P31" s="88"/>
      <c r="Q31" s="65"/>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row>
    <row r="32" spans="1:42" x14ac:dyDescent="0.2">
      <c r="A32" s="65"/>
      <c r="B32" s="87"/>
      <c r="C32" s="89" t="s">
        <v>109</v>
      </c>
      <c r="D32" s="89"/>
      <c r="E32" s="89"/>
      <c r="F32" s="81"/>
      <c r="G32" s="81"/>
      <c r="H32" s="81"/>
      <c r="I32" s="81"/>
      <c r="J32" s="81"/>
      <c r="K32" s="81"/>
      <c r="L32" s="81"/>
      <c r="M32" s="81"/>
      <c r="N32" s="81"/>
      <c r="O32" s="81"/>
      <c r="P32" s="88"/>
      <c r="Q32" s="65"/>
      <c r="R32" s="81"/>
      <c r="S32" s="81"/>
      <c r="T32" s="81"/>
      <c r="U32" s="81"/>
      <c r="V32" s="81"/>
      <c r="W32" s="81"/>
      <c r="X32" s="81"/>
      <c r="Y32" s="81"/>
      <c r="Z32" s="81"/>
      <c r="AA32" s="81"/>
      <c r="AB32" s="81"/>
      <c r="AC32" s="81"/>
      <c r="AD32" s="81"/>
      <c r="AE32" s="81"/>
      <c r="AF32" s="81"/>
      <c r="AG32" s="81"/>
      <c r="AH32" s="81"/>
      <c r="AI32" s="81"/>
      <c r="AJ32" s="81"/>
      <c r="AK32" s="81"/>
      <c r="AL32" s="81"/>
      <c r="AM32" s="81"/>
      <c r="AN32" s="81"/>
      <c r="AO32" s="81"/>
      <c r="AP32" s="81"/>
    </row>
    <row r="33" spans="1:42" x14ac:dyDescent="0.2">
      <c r="A33" s="65"/>
      <c r="B33" s="87"/>
      <c r="C33" s="67" t="s">
        <v>188</v>
      </c>
      <c r="D33" s="90"/>
      <c r="E33" s="90"/>
      <c r="F33" s="81"/>
      <c r="G33" s="81"/>
      <c r="H33" s="81"/>
      <c r="I33" s="81"/>
      <c r="J33" s="81"/>
      <c r="K33" s="81"/>
      <c r="L33" s="81"/>
      <c r="M33" s="81"/>
      <c r="N33" s="81"/>
      <c r="O33" s="81"/>
      <c r="P33" s="88"/>
      <c r="Q33" s="65"/>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row>
    <row r="34" spans="1:42" x14ac:dyDescent="0.2">
      <c r="A34" s="65"/>
      <c r="B34" s="87"/>
      <c r="C34" s="246"/>
      <c r="D34" s="247"/>
      <c r="E34" s="247"/>
      <c r="F34" s="247"/>
      <c r="G34" s="247"/>
      <c r="H34" s="247"/>
      <c r="I34" s="95"/>
      <c r="J34" s="250"/>
      <c r="K34" s="250"/>
      <c r="L34" s="250"/>
      <c r="M34" s="250"/>
      <c r="N34" s="250"/>
      <c r="O34" s="250"/>
      <c r="P34" s="88"/>
      <c r="Q34" s="65"/>
      <c r="R34" s="81"/>
      <c r="S34" s="81"/>
      <c r="T34" s="81"/>
      <c r="U34" s="81"/>
      <c r="V34" s="81"/>
      <c r="W34" s="81"/>
      <c r="X34" s="81"/>
      <c r="Y34" s="81"/>
      <c r="Z34" s="81"/>
      <c r="AA34" s="81"/>
      <c r="AB34" s="81"/>
      <c r="AC34" s="81"/>
      <c r="AD34" s="81"/>
      <c r="AE34" s="81"/>
      <c r="AF34" s="81"/>
      <c r="AG34" s="81"/>
      <c r="AH34" s="81"/>
      <c r="AI34" s="81"/>
      <c r="AJ34" s="81"/>
      <c r="AK34" s="81"/>
      <c r="AL34" s="81"/>
      <c r="AM34" s="81"/>
      <c r="AN34" s="81"/>
      <c r="AO34" s="81"/>
      <c r="AP34" s="81"/>
    </row>
    <row r="35" spans="1:42" x14ac:dyDescent="0.2">
      <c r="A35" s="65"/>
      <c r="B35" s="91"/>
      <c r="C35" s="97"/>
      <c r="D35" s="97"/>
      <c r="E35" s="97"/>
      <c r="F35" s="97"/>
      <c r="G35" s="97"/>
      <c r="H35" s="97"/>
      <c r="I35" s="92"/>
      <c r="J35" s="98"/>
      <c r="K35" s="98"/>
      <c r="L35" s="98"/>
      <c r="M35" s="98"/>
      <c r="N35" s="98"/>
      <c r="O35" s="98"/>
      <c r="P35" s="93"/>
      <c r="Q35" s="65"/>
      <c r="R35" s="81"/>
      <c r="S35" s="81"/>
      <c r="T35" s="81"/>
      <c r="U35" s="81"/>
      <c r="V35" s="81"/>
      <c r="W35" s="81"/>
      <c r="X35" s="81"/>
      <c r="Y35" s="81"/>
      <c r="Z35" s="81"/>
      <c r="AA35" s="81"/>
      <c r="AB35" s="81"/>
      <c r="AC35" s="81"/>
      <c r="AD35" s="81"/>
      <c r="AE35" s="81"/>
      <c r="AF35" s="81"/>
      <c r="AG35" s="81"/>
      <c r="AH35" s="81"/>
      <c r="AI35" s="81"/>
      <c r="AJ35" s="81"/>
      <c r="AK35" s="81"/>
      <c r="AL35" s="81"/>
      <c r="AM35" s="81"/>
      <c r="AN35" s="81"/>
      <c r="AO35" s="81"/>
      <c r="AP35" s="81"/>
    </row>
    <row r="36" spans="1:42" x14ac:dyDescent="0.2">
      <c r="A36" s="65"/>
      <c r="B36" s="65"/>
      <c r="C36" s="65"/>
      <c r="D36" s="65"/>
      <c r="E36" s="65"/>
      <c r="F36" s="65"/>
      <c r="G36" s="65"/>
      <c r="H36" s="65"/>
      <c r="I36" s="65"/>
      <c r="J36" s="65"/>
      <c r="K36" s="65"/>
      <c r="L36" s="65"/>
      <c r="M36" s="65"/>
      <c r="N36" s="65"/>
      <c r="O36" s="65"/>
      <c r="P36" s="65"/>
      <c r="Q36" s="65"/>
      <c r="R36" s="81"/>
      <c r="S36" s="81"/>
      <c r="T36" s="81"/>
      <c r="U36" s="81"/>
      <c r="V36" s="81"/>
      <c r="W36" s="81"/>
      <c r="X36" s="81"/>
      <c r="Y36" s="81"/>
      <c r="Z36" s="81"/>
      <c r="AA36" s="81"/>
      <c r="AB36" s="81"/>
      <c r="AC36" s="81"/>
      <c r="AD36" s="81"/>
      <c r="AE36" s="81"/>
      <c r="AF36" s="81"/>
      <c r="AG36" s="81"/>
      <c r="AH36" s="81"/>
      <c r="AI36" s="81"/>
      <c r="AJ36" s="81"/>
      <c r="AK36" s="81"/>
      <c r="AL36" s="81"/>
      <c r="AM36" s="81"/>
      <c r="AN36" s="81"/>
      <c r="AO36" s="81"/>
      <c r="AP36" s="81"/>
    </row>
    <row r="37" spans="1:42" x14ac:dyDescent="0.2">
      <c r="A37" s="65"/>
      <c r="B37" s="65"/>
      <c r="C37" s="65"/>
      <c r="D37" s="65"/>
      <c r="E37" s="65"/>
      <c r="F37" s="65"/>
      <c r="G37" s="65"/>
      <c r="H37" s="65"/>
      <c r="I37" s="65"/>
      <c r="J37" s="65"/>
      <c r="K37" s="65"/>
      <c r="L37" s="65"/>
      <c r="M37" s="65"/>
      <c r="N37" s="65"/>
      <c r="O37" s="65"/>
      <c r="P37" s="65"/>
      <c r="Q37" s="65"/>
      <c r="R37" s="81"/>
      <c r="S37" s="81"/>
      <c r="T37" s="81"/>
      <c r="U37" s="81"/>
      <c r="V37" s="81"/>
      <c r="W37" s="81"/>
      <c r="X37" s="81"/>
      <c r="Y37" s="81"/>
      <c r="Z37" s="81"/>
      <c r="AA37" s="81"/>
      <c r="AB37" s="81"/>
      <c r="AC37" s="81"/>
      <c r="AD37" s="81"/>
      <c r="AE37" s="81"/>
      <c r="AF37" s="81"/>
      <c r="AG37" s="81"/>
      <c r="AH37" s="81"/>
      <c r="AI37" s="81"/>
      <c r="AJ37" s="81"/>
      <c r="AK37" s="81"/>
      <c r="AL37" s="81"/>
      <c r="AM37" s="81"/>
      <c r="AN37" s="81"/>
      <c r="AO37" s="81"/>
      <c r="AP37" s="81"/>
    </row>
    <row r="38" spans="1:42" ht="27" customHeight="1" x14ac:dyDescent="0.2">
      <c r="A38" s="65"/>
      <c r="B38" s="99"/>
      <c r="C38" s="100" t="s">
        <v>61</v>
      </c>
      <c r="D38" s="101"/>
      <c r="E38" s="101"/>
      <c r="F38" s="102"/>
      <c r="G38" s="102"/>
      <c r="H38" s="102"/>
      <c r="I38" s="102"/>
      <c r="J38" s="102"/>
      <c r="K38" s="102"/>
      <c r="L38" s="102"/>
      <c r="M38" s="102"/>
      <c r="N38" s="102"/>
      <c r="O38" s="102"/>
      <c r="P38" s="103"/>
      <c r="Q38" s="65"/>
      <c r="R38" s="81"/>
      <c r="S38" s="81"/>
      <c r="T38" s="81"/>
      <c r="U38" s="81"/>
      <c r="V38" s="81"/>
      <c r="W38" s="81"/>
      <c r="X38" s="81"/>
      <c r="Y38" s="81"/>
      <c r="Z38" s="81"/>
      <c r="AA38" s="81"/>
      <c r="AB38" s="81"/>
      <c r="AC38" s="81"/>
      <c r="AD38" s="81"/>
      <c r="AE38" s="81"/>
      <c r="AF38" s="81"/>
      <c r="AG38" s="81"/>
      <c r="AH38" s="81"/>
      <c r="AI38" s="81"/>
      <c r="AJ38" s="81"/>
      <c r="AK38" s="81"/>
      <c r="AL38" s="81"/>
      <c r="AM38" s="81"/>
      <c r="AN38" s="81"/>
      <c r="AO38" s="81"/>
      <c r="AP38" s="81"/>
    </row>
    <row r="39" spans="1:42" x14ac:dyDescent="0.2">
      <c r="A39" s="65"/>
      <c r="B39" s="104"/>
      <c r="C39" s="71"/>
      <c r="D39" s="71"/>
      <c r="E39" s="71"/>
      <c r="F39" s="71"/>
      <c r="G39" s="71"/>
      <c r="H39" s="71"/>
      <c r="I39" s="81"/>
      <c r="J39" s="105"/>
      <c r="K39" s="105"/>
      <c r="L39" s="105"/>
      <c r="M39" s="105"/>
      <c r="N39" s="105"/>
      <c r="O39" s="105"/>
      <c r="P39" s="106"/>
      <c r="Q39" s="65"/>
      <c r="R39" s="81"/>
      <c r="S39" s="81"/>
      <c r="T39" s="81"/>
      <c r="U39" s="81"/>
      <c r="V39" s="81"/>
      <c r="W39" s="81"/>
      <c r="X39" s="81"/>
      <c r="Y39" s="81"/>
      <c r="Z39" s="81"/>
      <c r="AA39" s="81"/>
      <c r="AB39" s="81"/>
      <c r="AC39" s="81"/>
      <c r="AD39" s="81"/>
      <c r="AE39" s="81"/>
      <c r="AF39" s="81"/>
      <c r="AG39" s="81"/>
      <c r="AH39" s="81"/>
      <c r="AI39" s="81"/>
      <c r="AJ39" s="81"/>
      <c r="AK39" s="81"/>
      <c r="AL39" s="81"/>
      <c r="AM39" s="81"/>
      <c r="AN39" s="81"/>
      <c r="AO39" s="81"/>
      <c r="AP39" s="81"/>
    </row>
    <row r="40" spans="1:42" x14ac:dyDescent="0.2">
      <c r="A40" s="65"/>
      <c r="B40" s="104"/>
      <c r="C40" s="89" t="s">
        <v>217</v>
      </c>
      <c r="D40" s="71"/>
      <c r="E40" s="71"/>
      <c r="F40" s="71"/>
      <c r="G40" s="71"/>
      <c r="H40" s="71"/>
      <c r="I40" s="81"/>
      <c r="J40" s="105"/>
      <c r="K40" s="105"/>
      <c r="L40" s="105"/>
      <c r="M40" s="105"/>
      <c r="N40" s="105"/>
      <c r="O40" s="105"/>
      <c r="P40" s="106"/>
      <c r="Q40" s="65"/>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81"/>
    </row>
    <row r="41" spans="1:42" x14ac:dyDescent="0.2">
      <c r="A41" s="65"/>
      <c r="B41" s="104"/>
      <c r="C41" s="67" t="s">
        <v>218</v>
      </c>
      <c r="D41" s="71"/>
      <c r="E41" s="71"/>
      <c r="F41" s="71"/>
      <c r="G41" s="71"/>
      <c r="H41" s="71"/>
      <c r="I41" s="81"/>
      <c r="J41" s="105"/>
      <c r="K41" s="105"/>
      <c r="L41" s="105"/>
      <c r="M41" s="105"/>
      <c r="N41" s="105"/>
      <c r="O41" s="105"/>
      <c r="P41" s="106"/>
      <c r="Q41" s="65"/>
      <c r="R41" s="81"/>
      <c r="S41" s="81"/>
      <c r="T41" s="81"/>
      <c r="U41" s="81"/>
      <c r="V41" s="81"/>
      <c r="W41" s="81"/>
      <c r="X41" s="81"/>
      <c r="Y41" s="81"/>
      <c r="Z41" s="81"/>
      <c r="AA41" s="81"/>
      <c r="AB41" s="81"/>
      <c r="AC41" s="81"/>
      <c r="AD41" s="81"/>
      <c r="AE41" s="81"/>
      <c r="AF41" s="81"/>
      <c r="AG41" s="81"/>
      <c r="AH41" s="81"/>
      <c r="AI41" s="81"/>
      <c r="AJ41" s="81"/>
      <c r="AK41" s="81"/>
      <c r="AL41" s="81"/>
      <c r="AM41" s="81"/>
      <c r="AN41" s="81"/>
      <c r="AO41" s="81"/>
      <c r="AP41" s="81"/>
    </row>
    <row r="42" spans="1:42" ht="6" customHeight="1" x14ac:dyDescent="0.2">
      <c r="A42" s="65"/>
      <c r="B42" s="104"/>
      <c r="C42" s="67"/>
      <c r="D42" s="71"/>
      <c r="E42" s="71"/>
      <c r="F42" s="71"/>
      <c r="G42" s="71"/>
      <c r="H42" s="71"/>
      <c r="I42" s="81"/>
      <c r="J42" s="105"/>
      <c r="K42" s="105"/>
      <c r="L42" s="105"/>
      <c r="M42" s="105"/>
      <c r="N42" s="105"/>
      <c r="O42" s="105"/>
      <c r="P42" s="106"/>
      <c r="Q42" s="65"/>
      <c r="R42" s="81"/>
      <c r="S42" s="81"/>
      <c r="T42" s="81"/>
      <c r="U42" s="81"/>
      <c r="V42" s="81"/>
      <c r="W42" s="81"/>
      <c r="X42" s="81"/>
      <c r="Y42" s="81"/>
      <c r="Z42" s="81"/>
      <c r="AA42" s="81"/>
      <c r="AB42" s="81"/>
      <c r="AC42" s="81"/>
      <c r="AD42" s="81"/>
      <c r="AE42" s="81"/>
      <c r="AF42" s="81"/>
      <c r="AG42" s="81"/>
      <c r="AH42" s="81"/>
      <c r="AI42" s="81"/>
      <c r="AJ42" s="81"/>
      <c r="AK42" s="81"/>
      <c r="AL42" s="81"/>
      <c r="AM42" s="81"/>
      <c r="AN42" s="81"/>
      <c r="AO42" s="81"/>
      <c r="AP42" s="81"/>
    </row>
    <row r="43" spans="1:42" x14ac:dyDescent="0.2">
      <c r="A43" s="65"/>
      <c r="B43" s="104"/>
      <c r="C43" s="107" t="s">
        <v>197</v>
      </c>
      <c r="D43" s="71"/>
      <c r="E43" s="108">
        <f>IF(StorageData=TRUE,Req_MediaDB,0)</f>
        <v>0</v>
      </c>
      <c r="F43" s="109" t="s">
        <v>199</v>
      </c>
      <c r="G43" s="71"/>
      <c r="H43" s="71"/>
      <c r="I43" s="81"/>
      <c r="J43" s="105"/>
      <c r="K43" s="105"/>
      <c r="L43" s="105"/>
      <c r="M43" s="105"/>
      <c r="N43" s="105"/>
      <c r="O43" s="105"/>
      <c r="P43" s="106"/>
      <c r="Q43" s="65"/>
      <c r="R43" s="81"/>
      <c r="S43" s="81"/>
      <c r="T43" s="81"/>
      <c r="U43" s="81"/>
      <c r="V43" s="81"/>
      <c r="W43" s="81"/>
      <c r="X43" s="81"/>
      <c r="Y43" s="81"/>
      <c r="Z43" s="81"/>
      <c r="AA43" s="81"/>
      <c r="AB43" s="81"/>
      <c r="AC43" s="81"/>
      <c r="AD43" s="81"/>
      <c r="AE43" s="81"/>
      <c r="AF43" s="81"/>
      <c r="AG43" s="81"/>
      <c r="AH43" s="81"/>
      <c r="AI43" s="81"/>
      <c r="AJ43" s="81"/>
      <c r="AK43" s="81"/>
      <c r="AL43" s="81"/>
      <c r="AM43" s="81"/>
      <c r="AN43" s="81"/>
      <c r="AO43" s="81"/>
      <c r="AP43" s="81"/>
    </row>
    <row r="44" spans="1:42" x14ac:dyDescent="0.2">
      <c r="A44" s="65"/>
      <c r="B44" s="104"/>
      <c r="C44" s="107" t="s">
        <v>198</v>
      </c>
      <c r="D44" s="71"/>
      <c r="E44" s="110">
        <f>IF(StorageData=TRUE,Req_Archive,0)</f>
        <v>0</v>
      </c>
      <c r="F44" s="109" t="s">
        <v>200</v>
      </c>
      <c r="G44" s="71"/>
      <c r="H44" s="71"/>
      <c r="I44" s="81"/>
      <c r="J44" s="105"/>
      <c r="K44" s="105"/>
      <c r="L44" s="105"/>
      <c r="M44" s="105"/>
      <c r="N44" s="105"/>
      <c r="O44" s="105"/>
      <c r="P44" s="106"/>
      <c r="Q44" s="65"/>
      <c r="R44" s="81"/>
      <c r="S44" s="81"/>
      <c r="T44" s="81"/>
      <c r="U44" s="81"/>
      <c r="V44" s="81"/>
      <c r="W44" s="81"/>
      <c r="X44" s="81"/>
      <c r="Y44" s="81"/>
      <c r="Z44" s="81"/>
      <c r="AA44" s="81"/>
      <c r="AB44" s="81"/>
      <c r="AC44" s="81"/>
      <c r="AD44" s="81"/>
      <c r="AE44" s="81"/>
      <c r="AF44" s="81"/>
      <c r="AG44" s="81"/>
      <c r="AH44" s="81"/>
      <c r="AI44" s="81"/>
      <c r="AJ44" s="81"/>
      <c r="AK44" s="81"/>
      <c r="AL44" s="81"/>
      <c r="AM44" s="81"/>
      <c r="AN44" s="81"/>
      <c r="AO44" s="81"/>
      <c r="AP44" s="81"/>
    </row>
    <row r="45" spans="1:42" x14ac:dyDescent="0.2">
      <c r="A45" s="65"/>
      <c r="B45" s="104"/>
      <c r="C45" s="71"/>
      <c r="D45" s="71"/>
      <c r="E45" s="71"/>
      <c r="F45" s="71"/>
      <c r="G45" s="71"/>
      <c r="H45" s="71"/>
      <c r="I45" s="81"/>
      <c r="J45" s="105"/>
      <c r="K45" s="105"/>
      <c r="L45" s="105"/>
      <c r="M45" s="105"/>
      <c r="N45" s="105"/>
      <c r="O45" s="105"/>
      <c r="P45" s="106"/>
      <c r="Q45" s="65"/>
      <c r="R45" s="81"/>
      <c r="S45" s="81"/>
      <c r="T45" s="81"/>
      <c r="U45" s="81"/>
      <c r="V45" s="81"/>
      <c r="W45" s="81"/>
      <c r="X45" s="81"/>
      <c r="Y45" s="81"/>
      <c r="Z45" s="81"/>
      <c r="AA45" s="81"/>
      <c r="AB45" s="81"/>
      <c r="AC45" s="81"/>
      <c r="AD45" s="81"/>
      <c r="AE45" s="81"/>
      <c r="AF45" s="81"/>
      <c r="AG45" s="81"/>
      <c r="AH45" s="81"/>
      <c r="AI45" s="81"/>
      <c r="AJ45" s="81"/>
      <c r="AK45" s="81"/>
      <c r="AL45" s="81"/>
      <c r="AM45" s="81"/>
      <c r="AN45" s="81"/>
      <c r="AO45" s="81"/>
      <c r="AP45" s="81"/>
    </row>
    <row r="46" spans="1:42" x14ac:dyDescent="0.2">
      <c r="A46" s="65"/>
      <c r="B46" s="104"/>
      <c r="C46" s="67" t="s">
        <v>219</v>
      </c>
      <c r="D46" s="71"/>
      <c r="E46" s="71"/>
      <c r="F46" s="71"/>
      <c r="G46" s="71"/>
      <c r="H46" s="71"/>
      <c r="I46" s="81"/>
      <c r="J46" s="105"/>
      <c r="K46" s="105"/>
      <c r="L46" s="105"/>
      <c r="M46" s="105"/>
      <c r="N46" s="105"/>
      <c r="O46" s="105"/>
      <c r="P46" s="106"/>
      <c r="Q46" s="65"/>
      <c r="R46" s="81"/>
      <c r="S46" s="81"/>
      <c r="T46" s="81"/>
      <c r="U46" s="81"/>
      <c r="V46" s="81"/>
      <c r="W46" s="81"/>
      <c r="X46" s="81"/>
      <c r="Y46" s="81"/>
      <c r="Z46" s="81"/>
      <c r="AA46" s="81"/>
      <c r="AB46" s="81"/>
      <c r="AC46" s="81"/>
      <c r="AD46" s="81"/>
      <c r="AE46" s="81"/>
      <c r="AF46" s="81"/>
      <c r="AG46" s="81"/>
      <c r="AH46" s="81"/>
      <c r="AI46" s="81"/>
      <c r="AJ46" s="81"/>
      <c r="AK46" s="81"/>
      <c r="AL46" s="81"/>
      <c r="AM46" s="81"/>
      <c r="AN46" s="81"/>
      <c r="AO46" s="81"/>
      <c r="AP46" s="81"/>
    </row>
    <row r="47" spans="1:42" x14ac:dyDescent="0.2">
      <c r="A47" s="65"/>
      <c r="B47" s="104"/>
      <c r="C47" s="71"/>
      <c r="D47" s="71"/>
      <c r="E47" s="71"/>
      <c r="F47" s="71"/>
      <c r="G47" s="71"/>
      <c r="H47" s="71"/>
      <c r="I47" s="81"/>
      <c r="J47" s="105"/>
      <c r="K47" s="105"/>
      <c r="L47" s="105"/>
      <c r="M47" s="105"/>
      <c r="N47" s="105"/>
      <c r="O47" s="105"/>
      <c r="P47" s="106"/>
      <c r="Q47" s="65"/>
      <c r="R47" s="81"/>
      <c r="S47" s="81"/>
      <c r="T47" s="81"/>
      <c r="U47" s="81"/>
      <c r="V47" s="81"/>
      <c r="W47" s="81"/>
      <c r="X47" s="81"/>
      <c r="Y47" s="81"/>
      <c r="Z47" s="81"/>
      <c r="AA47" s="81"/>
      <c r="AB47" s="81"/>
      <c r="AC47" s="81"/>
      <c r="AD47" s="81"/>
      <c r="AE47" s="81"/>
      <c r="AF47" s="81"/>
      <c r="AG47" s="81"/>
      <c r="AH47" s="81"/>
      <c r="AI47" s="81"/>
      <c r="AJ47" s="81"/>
      <c r="AK47" s="81"/>
      <c r="AL47" s="81"/>
      <c r="AM47" s="81"/>
      <c r="AN47" s="81"/>
      <c r="AO47" s="81"/>
      <c r="AP47" s="81"/>
    </row>
    <row r="48" spans="1:42" x14ac:dyDescent="0.2">
      <c r="A48" s="65"/>
      <c r="B48" s="104"/>
      <c r="C48" s="71"/>
      <c r="D48" s="71"/>
      <c r="E48" s="71"/>
      <c r="F48" s="71"/>
      <c r="G48" s="71"/>
      <c r="H48" s="71"/>
      <c r="I48" s="81"/>
      <c r="J48" s="105"/>
      <c r="K48" s="105"/>
      <c r="L48" s="105"/>
      <c r="M48" s="105"/>
      <c r="N48" s="105"/>
      <c r="O48" s="105"/>
      <c r="P48" s="106"/>
      <c r="Q48" s="65"/>
      <c r="R48" s="81"/>
      <c r="S48" s="81"/>
      <c r="T48" s="81"/>
      <c r="U48" s="81"/>
      <c r="V48" s="81"/>
      <c r="W48" s="81"/>
      <c r="X48" s="81"/>
      <c r="Y48" s="81"/>
      <c r="Z48" s="81"/>
      <c r="AA48" s="81"/>
      <c r="AB48" s="81"/>
      <c r="AC48" s="81"/>
      <c r="AD48" s="81"/>
      <c r="AE48" s="81"/>
      <c r="AF48" s="81"/>
      <c r="AG48" s="81"/>
      <c r="AH48" s="81"/>
      <c r="AI48" s="81"/>
      <c r="AJ48" s="81"/>
      <c r="AK48" s="81"/>
      <c r="AL48" s="81"/>
      <c r="AM48" s="81"/>
      <c r="AN48" s="81"/>
      <c r="AO48" s="81"/>
      <c r="AP48" s="81"/>
    </row>
    <row r="49" spans="1:42" x14ac:dyDescent="0.2">
      <c r="A49" s="65"/>
      <c r="B49" s="104"/>
      <c r="C49" s="71"/>
      <c r="D49" s="71"/>
      <c r="E49" s="71"/>
      <c r="F49" s="71"/>
      <c r="G49" s="71"/>
      <c r="H49" s="71"/>
      <c r="I49" s="81"/>
      <c r="J49" s="105"/>
      <c r="K49" s="105"/>
      <c r="L49" s="105"/>
      <c r="M49" s="105"/>
      <c r="N49" s="105"/>
      <c r="O49" s="105"/>
      <c r="P49" s="106"/>
      <c r="Q49" s="65"/>
      <c r="R49" s="81"/>
      <c r="S49" s="81"/>
      <c r="T49" s="81"/>
      <c r="U49" s="81"/>
      <c r="V49" s="81"/>
      <c r="W49" s="81"/>
      <c r="X49" s="81"/>
      <c r="Y49" s="81"/>
      <c r="Z49" s="81"/>
      <c r="AA49" s="81"/>
      <c r="AB49" s="81"/>
      <c r="AC49" s="81"/>
      <c r="AD49" s="81"/>
      <c r="AE49" s="81"/>
      <c r="AF49" s="81"/>
      <c r="AG49" s="81"/>
      <c r="AH49" s="81"/>
      <c r="AI49" s="81"/>
      <c r="AJ49" s="81"/>
      <c r="AK49" s="81"/>
      <c r="AL49" s="81"/>
      <c r="AM49" s="81"/>
      <c r="AN49" s="81"/>
      <c r="AO49" s="81"/>
      <c r="AP49" s="81"/>
    </row>
    <row r="50" spans="1:42" x14ac:dyDescent="0.2">
      <c r="A50" s="65"/>
      <c r="B50" s="104"/>
      <c r="C50" s="71"/>
      <c r="D50" s="71"/>
      <c r="E50" s="71"/>
      <c r="F50" s="71"/>
      <c r="G50" s="71"/>
      <c r="H50" s="71"/>
      <c r="I50" s="81"/>
      <c r="J50" s="105"/>
      <c r="K50" s="105"/>
      <c r="L50" s="105"/>
      <c r="M50" s="105"/>
      <c r="N50" s="105"/>
      <c r="O50" s="105"/>
      <c r="P50" s="106"/>
      <c r="Q50" s="65"/>
      <c r="R50" s="81"/>
      <c r="S50" s="81"/>
      <c r="T50" s="81"/>
      <c r="U50" s="81"/>
      <c r="V50" s="81"/>
      <c r="W50" s="81"/>
      <c r="X50" s="81"/>
      <c r="Y50" s="81"/>
      <c r="Z50" s="81"/>
      <c r="AA50" s="81"/>
      <c r="AB50" s="81"/>
      <c r="AC50" s="81"/>
      <c r="AD50" s="81"/>
      <c r="AE50" s="81"/>
      <c r="AF50" s="81"/>
      <c r="AG50" s="81"/>
      <c r="AH50" s="81"/>
      <c r="AI50" s="81"/>
      <c r="AJ50" s="81"/>
      <c r="AK50" s="81"/>
      <c r="AL50" s="81"/>
      <c r="AM50" s="81"/>
      <c r="AN50" s="81"/>
      <c r="AO50" s="81"/>
      <c r="AP50" s="81"/>
    </row>
    <row r="51" spans="1:42" x14ac:dyDescent="0.2">
      <c r="A51" s="65"/>
      <c r="B51" s="104"/>
      <c r="C51" s="89" t="s">
        <v>202</v>
      </c>
      <c r="D51" s="71"/>
      <c r="E51" s="71"/>
      <c r="F51" s="71"/>
      <c r="G51" s="71"/>
      <c r="H51" s="71"/>
      <c r="I51" s="81"/>
      <c r="J51" s="105"/>
      <c r="K51" s="105"/>
      <c r="L51" s="105"/>
      <c r="M51" s="105"/>
      <c r="N51" s="105"/>
      <c r="O51" s="105"/>
      <c r="P51" s="106"/>
      <c r="Q51" s="65"/>
      <c r="R51" s="81"/>
      <c r="S51" s="81"/>
      <c r="T51" s="81"/>
      <c r="U51" s="81"/>
      <c r="V51" s="81"/>
      <c r="W51" s="81"/>
      <c r="X51" s="81"/>
      <c r="Y51" s="81"/>
      <c r="Z51" s="81"/>
      <c r="AA51" s="81"/>
      <c r="AB51" s="81"/>
      <c r="AC51" s="81"/>
      <c r="AD51" s="81"/>
      <c r="AE51" s="81"/>
      <c r="AF51" s="81"/>
      <c r="AG51" s="81"/>
      <c r="AH51" s="81"/>
      <c r="AI51" s="81"/>
      <c r="AJ51" s="81"/>
      <c r="AK51" s="81"/>
      <c r="AL51" s="81"/>
      <c r="AM51" s="81"/>
      <c r="AN51" s="81"/>
      <c r="AO51" s="81"/>
      <c r="AP51" s="81"/>
    </row>
    <row r="52" spans="1:42" x14ac:dyDescent="0.2">
      <c r="A52" s="65"/>
      <c r="B52" s="104"/>
      <c r="C52" s="67" t="s">
        <v>203</v>
      </c>
      <c r="D52" s="71"/>
      <c r="E52" s="71"/>
      <c r="F52" s="71"/>
      <c r="G52" s="71"/>
      <c r="H52" s="71"/>
      <c r="I52" s="81"/>
      <c r="J52" s="105"/>
      <c r="K52" s="105"/>
      <c r="L52" s="105"/>
      <c r="M52" s="105"/>
      <c r="N52" s="105"/>
      <c r="O52" s="105"/>
      <c r="P52" s="106"/>
      <c r="Q52" s="65"/>
      <c r="R52" s="81"/>
      <c r="S52" s="81"/>
      <c r="T52" s="81"/>
      <c r="U52" s="81"/>
      <c r="V52" s="81"/>
      <c r="W52" s="81"/>
      <c r="X52" s="81"/>
      <c r="Y52" s="81"/>
      <c r="Z52" s="81"/>
      <c r="AA52" s="81"/>
      <c r="AB52" s="81"/>
      <c r="AC52" s="81"/>
      <c r="AD52" s="81"/>
      <c r="AE52" s="81"/>
      <c r="AF52" s="81"/>
      <c r="AG52" s="81"/>
      <c r="AH52" s="81"/>
      <c r="AI52" s="81"/>
      <c r="AJ52" s="81"/>
      <c r="AK52" s="81"/>
      <c r="AL52" s="81"/>
      <c r="AM52" s="81"/>
      <c r="AN52" s="81"/>
      <c r="AO52" s="81"/>
      <c r="AP52" s="81"/>
    </row>
    <row r="53" spans="1:42" x14ac:dyDescent="0.2">
      <c r="A53" s="65"/>
      <c r="B53" s="104"/>
      <c r="C53" s="243"/>
      <c r="D53" s="244"/>
      <c r="E53" s="244"/>
      <c r="F53" s="244"/>
      <c r="G53" s="244"/>
      <c r="H53" s="245"/>
      <c r="I53" s="81"/>
      <c r="J53" s="111" t="s">
        <v>49</v>
      </c>
      <c r="K53" s="111" t="str">
        <f>IF(Storage_Input=2,IF(Custom_MediaDB&lt;Req_MediaDB,"The size must be larger than required minimum size",""),"Not used")</f>
        <v>Not used</v>
      </c>
      <c r="L53" s="105"/>
      <c r="M53" s="105"/>
      <c r="N53" s="105"/>
      <c r="O53" s="105"/>
      <c r="P53" s="106"/>
      <c r="Q53" s="65"/>
      <c r="R53" s="81"/>
      <c r="S53" s="81"/>
      <c r="T53" s="81"/>
      <c r="U53" s="81"/>
      <c r="V53" s="81"/>
      <c r="W53" s="81"/>
      <c r="X53" s="81"/>
      <c r="Y53" s="81"/>
      <c r="Z53" s="81"/>
      <c r="AA53" s="81"/>
      <c r="AB53" s="81"/>
      <c r="AC53" s="81"/>
      <c r="AD53" s="81"/>
      <c r="AE53" s="81"/>
      <c r="AF53" s="81"/>
      <c r="AG53" s="81"/>
      <c r="AH53" s="81"/>
      <c r="AI53" s="81"/>
      <c r="AJ53" s="81"/>
      <c r="AK53" s="81"/>
      <c r="AL53" s="81"/>
      <c r="AM53" s="81"/>
      <c r="AN53" s="81"/>
      <c r="AO53" s="81"/>
      <c r="AP53" s="81"/>
    </row>
    <row r="54" spans="1:42" x14ac:dyDescent="0.2">
      <c r="A54" s="65"/>
      <c r="B54" s="104"/>
      <c r="C54" s="71"/>
      <c r="D54" s="71"/>
      <c r="E54" s="71"/>
      <c r="F54" s="71"/>
      <c r="G54" s="71"/>
      <c r="H54" s="71"/>
      <c r="I54" s="81"/>
      <c r="J54" s="111"/>
      <c r="K54" s="111"/>
      <c r="L54" s="105"/>
      <c r="M54" s="105"/>
      <c r="N54" s="105"/>
      <c r="O54" s="105"/>
      <c r="P54" s="106"/>
      <c r="Q54" s="65"/>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row>
    <row r="55" spans="1:42" x14ac:dyDescent="0.2">
      <c r="A55" s="65"/>
      <c r="B55" s="104"/>
      <c r="C55" s="67" t="s">
        <v>204</v>
      </c>
      <c r="D55" s="71"/>
      <c r="E55" s="71"/>
      <c r="F55" s="71"/>
      <c r="G55" s="71"/>
      <c r="H55" s="71"/>
      <c r="I55" s="81"/>
      <c r="J55" s="111"/>
      <c r="K55" s="111"/>
      <c r="L55" s="105"/>
      <c r="M55" s="105"/>
      <c r="N55" s="105"/>
      <c r="O55" s="105"/>
      <c r="P55" s="106"/>
      <c r="Q55" s="65"/>
      <c r="R55" s="81"/>
      <c r="S55" s="81"/>
      <c r="T55" s="81"/>
      <c r="U55" s="81"/>
      <c r="V55" s="81"/>
      <c r="W55" s="81"/>
      <c r="X55" s="81"/>
      <c r="Y55" s="81"/>
      <c r="Z55" s="81"/>
      <c r="AA55" s="81"/>
      <c r="AB55" s="81"/>
      <c r="AC55" s="81"/>
      <c r="AD55" s="81"/>
      <c r="AE55" s="81"/>
      <c r="AF55" s="81"/>
      <c r="AG55" s="81"/>
      <c r="AH55" s="81"/>
      <c r="AI55" s="81"/>
      <c r="AJ55" s="81"/>
      <c r="AK55" s="81"/>
      <c r="AL55" s="81"/>
      <c r="AM55" s="81"/>
      <c r="AN55" s="81"/>
      <c r="AO55" s="81"/>
      <c r="AP55" s="81"/>
    </row>
    <row r="56" spans="1:42" x14ac:dyDescent="0.2">
      <c r="A56" s="65"/>
      <c r="B56" s="104"/>
      <c r="C56" s="243"/>
      <c r="D56" s="244"/>
      <c r="E56" s="244"/>
      <c r="F56" s="244"/>
      <c r="G56" s="244"/>
      <c r="H56" s="245"/>
      <c r="I56" s="81"/>
      <c r="J56" s="111" t="s">
        <v>89</v>
      </c>
      <c r="K56" s="111" t="str">
        <f>IF(Storage_Input=2,IF(Custom_Archive&lt;Req_Archive,"The size must be larger than required minimum size",""),"Not used")</f>
        <v>Not used</v>
      </c>
      <c r="L56" s="105"/>
      <c r="M56" s="105"/>
      <c r="N56" s="105"/>
      <c r="O56" s="105"/>
      <c r="P56" s="106"/>
      <c r="Q56" s="65"/>
      <c r="R56" s="81"/>
      <c r="S56" s="81"/>
      <c r="T56" s="81"/>
      <c r="U56" s="81"/>
      <c r="V56" s="81"/>
      <c r="W56" s="81"/>
      <c r="X56" s="81"/>
      <c r="Y56" s="81"/>
      <c r="Z56" s="81"/>
      <c r="AA56" s="81"/>
      <c r="AB56" s="81"/>
      <c r="AC56" s="81"/>
      <c r="AD56" s="81"/>
      <c r="AE56" s="81"/>
      <c r="AF56" s="81"/>
      <c r="AG56" s="81"/>
      <c r="AH56" s="81"/>
      <c r="AI56" s="81"/>
      <c r="AJ56" s="81"/>
      <c r="AK56" s="81"/>
      <c r="AL56" s="81"/>
      <c r="AM56" s="81"/>
      <c r="AN56" s="81"/>
      <c r="AO56" s="81"/>
      <c r="AP56" s="81"/>
    </row>
    <row r="57" spans="1:42" x14ac:dyDescent="0.2">
      <c r="A57" s="65"/>
      <c r="B57" s="104"/>
      <c r="C57" s="71"/>
      <c r="D57" s="71"/>
      <c r="E57" s="71"/>
      <c r="F57" s="71"/>
      <c r="G57" s="71"/>
      <c r="H57" s="71"/>
      <c r="I57" s="81"/>
      <c r="J57" s="105"/>
      <c r="K57" s="105"/>
      <c r="L57" s="105"/>
      <c r="M57" s="105"/>
      <c r="N57" s="105"/>
      <c r="O57" s="105"/>
      <c r="P57" s="106"/>
      <c r="Q57" s="65"/>
      <c r="R57" s="81"/>
      <c r="S57" s="81"/>
      <c r="T57" s="81"/>
      <c r="U57" s="81"/>
      <c r="V57" s="81"/>
      <c r="W57" s="81"/>
      <c r="X57" s="81"/>
      <c r="Y57" s="81"/>
      <c r="Z57" s="81"/>
      <c r="AA57" s="81"/>
      <c r="AB57" s="81"/>
      <c r="AC57" s="81"/>
      <c r="AD57" s="81"/>
      <c r="AE57" s="81"/>
      <c r="AF57" s="81"/>
      <c r="AG57" s="81"/>
      <c r="AH57" s="81"/>
      <c r="AI57" s="81"/>
      <c r="AJ57" s="81"/>
      <c r="AK57" s="81"/>
      <c r="AL57" s="81"/>
      <c r="AM57" s="81"/>
      <c r="AN57" s="81"/>
      <c r="AO57" s="81"/>
      <c r="AP57" s="81"/>
    </row>
    <row r="58" spans="1:42" x14ac:dyDescent="0.2">
      <c r="A58" s="65"/>
      <c r="B58" s="104"/>
      <c r="C58" s="89" t="s">
        <v>179</v>
      </c>
      <c r="D58" s="89"/>
      <c r="E58" s="89"/>
      <c r="F58" s="81"/>
      <c r="G58" s="81"/>
      <c r="H58" s="81"/>
      <c r="I58" s="81"/>
      <c r="J58" s="81"/>
      <c r="K58" s="81"/>
      <c r="L58" s="81"/>
      <c r="M58" s="81"/>
      <c r="N58" s="81"/>
      <c r="O58" s="81"/>
      <c r="P58" s="106"/>
      <c r="Q58" s="65"/>
      <c r="R58" s="81"/>
      <c r="S58" s="81"/>
      <c r="T58" s="81"/>
      <c r="U58" s="81"/>
      <c r="V58" s="81"/>
      <c r="W58" s="81"/>
      <c r="X58" s="81"/>
      <c r="Y58" s="81"/>
      <c r="Z58" s="81"/>
      <c r="AA58" s="81"/>
      <c r="AB58" s="81"/>
      <c r="AC58" s="81"/>
      <c r="AD58" s="81"/>
      <c r="AE58" s="81"/>
      <c r="AF58" s="81"/>
      <c r="AG58" s="81"/>
      <c r="AH58" s="81"/>
      <c r="AI58" s="81"/>
      <c r="AJ58" s="81"/>
      <c r="AK58" s="81"/>
      <c r="AL58" s="81"/>
      <c r="AM58" s="81"/>
      <c r="AN58" s="81"/>
      <c r="AO58" s="81"/>
      <c r="AP58" s="81"/>
    </row>
    <row r="59" spans="1:42" x14ac:dyDescent="0.2">
      <c r="A59" s="65"/>
      <c r="B59" s="104"/>
      <c r="C59" s="67" t="s">
        <v>180</v>
      </c>
      <c r="D59" s="90"/>
      <c r="E59" s="90"/>
      <c r="F59" s="81"/>
      <c r="G59" s="81"/>
      <c r="H59" s="81"/>
      <c r="I59" s="81"/>
      <c r="J59" s="81"/>
      <c r="K59" s="81"/>
      <c r="L59" s="81"/>
      <c r="M59" s="81"/>
      <c r="N59" s="81"/>
      <c r="O59" s="81"/>
      <c r="P59" s="106"/>
      <c r="Q59" s="65"/>
      <c r="R59" s="81"/>
      <c r="S59" s="81"/>
      <c r="T59" s="81"/>
      <c r="U59" s="81"/>
      <c r="V59" s="81"/>
      <c r="W59" s="81"/>
      <c r="X59" s="81"/>
      <c r="Y59" s="81"/>
      <c r="Z59" s="81"/>
      <c r="AA59" s="81"/>
      <c r="AB59" s="81"/>
      <c r="AC59" s="81"/>
      <c r="AD59" s="81"/>
      <c r="AE59" s="81"/>
      <c r="AF59" s="81"/>
      <c r="AG59" s="81"/>
      <c r="AH59" s="81"/>
      <c r="AI59" s="81"/>
      <c r="AJ59" s="81"/>
      <c r="AK59" s="81"/>
      <c r="AL59" s="81"/>
      <c r="AM59" s="81"/>
      <c r="AN59" s="81"/>
      <c r="AO59" s="81"/>
      <c r="AP59" s="81"/>
    </row>
    <row r="60" spans="1:42" x14ac:dyDescent="0.2">
      <c r="A60" s="65"/>
      <c r="B60" s="104"/>
      <c r="C60" s="249"/>
      <c r="D60" s="249"/>
      <c r="E60" s="249"/>
      <c r="F60" s="249"/>
      <c r="G60" s="249"/>
      <c r="H60" s="249"/>
      <c r="I60" s="81"/>
      <c r="J60" s="250"/>
      <c r="K60" s="250"/>
      <c r="L60" s="250"/>
      <c r="M60" s="250"/>
      <c r="N60" s="250"/>
      <c r="O60" s="250"/>
      <c r="P60" s="106"/>
      <c r="Q60" s="65"/>
      <c r="R60" s="81"/>
      <c r="S60" s="81"/>
      <c r="T60" s="81"/>
      <c r="U60" s="81"/>
      <c r="V60" s="81"/>
      <c r="W60" s="81"/>
      <c r="X60" s="81"/>
      <c r="Y60" s="81"/>
      <c r="Z60" s="81"/>
      <c r="AA60" s="81"/>
      <c r="AB60" s="81"/>
      <c r="AC60" s="81"/>
      <c r="AD60" s="81"/>
      <c r="AE60" s="81"/>
      <c r="AF60" s="81"/>
      <c r="AG60" s="81"/>
      <c r="AH60" s="81"/>
      <c r="AI60" s="81"/>
      <c r="AJ60" s="81"/>
      <c r="AK60" s="81"/>
      <c r="AL60" s="81"/>
      <c r="AM60" s="81"/>
      <c r="AN60" s="81"/>
      <c r="AO60" s="81"/>
      <c r="AP60" s="81"/>
    </row>
    <row r="61" spans="1:42" ht="23.25" customHeight="1" x14ac:dyDescent="0.2">
      <c r="A61" s="65"/>
      <c r="B61" s="112"/>
      <c r="C61" s="113"/>
      <c r="D61" s="113"/>
      <c r="E61" s="113"/>
      <c r="F61" s="113"/>
      <c r="G61" s="113"/>
      <c r="H61" s="113"/>
      <c r="I61" s="113"/>
      <c r="J61" s="113"/>
      <c r="K61" s="113"/>
      <c r="L61" s="113"/>
      <c r="M61" s="113"/>
      <c r="N61" s="113"/>
      <c r="O61" s="113"/>
      <c r="P61" s="114"/>
      <c r="Q61" s="65"/>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row>
    <row r="62" spans="1:42" x14ac:dyDescent="0.2">
      <c r="A62" s="65"/>
      <c r="B62" s="65"/>
      <c r="C62" s="65"/>
      <c r="D62" s="65"/>
      <c r="E62" s="65"/>
      <c r="F62" s="65"/>
      <c r="G62" s="65"/>
      <c r="H62" s="65"/>
      <c r="I62" s="65"/>
      <c r="J62" s="65"/>
      <c r="K62" s="65"/>
      <c r="L62" s="65"/>
      <c r="M62" s="65"/>
      <c r="N62" s="65"/>
      <c r="O62" s="65"/>
      <c r="P62" s="65"/>
      <c r="Q62" s="65"/>
      <c r="R62" s="81"/>
      <c r="S62" s="81"/>
      <c r="T62" s="81"/>
      <c r="U62" s="81"/>
      <c r="V62" s="81"/>
      <c r="W62" s="81"/>
      <c r="X62" s="81"/>
      <c r="Y62" s="81"/>
      <c r="Z62" s="81"/>
      <c r="AA62" s="81"/>
      <c r="AB62" s="81"/>
      <c r="AC62" s="81"/>
      <c r="AD62" s="81"/>
      <c r="AE62" s="81"/>
      <c r="AF62" s="81"/>
      <c r="AG62" s="81"/>
      <c r="AH62" s="81"/>
      <c r="AI62" s="81"/>
      <c r="AJ62" s="81"/>
      <c r="AK62" s="81"/>
      <c r="AL62" s="81"/>
      <c r="AM62" s="81"/>
      <c r="AN62" s="81"/>
      <c r="AO62" s="81"/>
      <c r="AP62" s="81"/>
    </row>
    <row r="63" spans="1:42" x14ac:dyDescent="0.2">
      <c r="A63" s="65"/>
      <c r="B63" s="65"/>
      <c r="C63" s="65"/>
      <c r="D63" s="65"/>
      <c r="E63" s="65"/>
      <c r="F63" s="65"/>
      <c r="G63" s="65"/>
      <c r="H63" s="65"/>
      <c r="I63" s="65"/>
      <c r="J63" s="65"/>
      <c r="K63" s="65"/>
      <c r="L63" s="65"/>
      <c r="M63" s="65"/>
      <c r="N63" s="65"/>
      <c r="O63" s="65"/>
      <c r="P63" s="65"/>
      <c r="Q63" s="65"/>
      <c r="R63" s="81"/>
      <c r="S63" s="81"/>
      <c r="T63" s="81"/>
      <c r="U63" s="81"/>
      <c r="V63" s="81"/>
      <c r="W63" s="81"/>
      <c r="X63" s="81"/>
      <c r="Y63" s="81"/>
      <c r="Z63" s="81"/>
      <c r="AA63" s="81"/>
      <c r="AB63" s="81"/>
      <c r="AC63" s="81"/>
      <c r="AD63" s="81"/>
      <c r="AE63" s="81"/>
      <c r="AF63" s="81"/>
      <c r="AG63" s="81"/>
      <c r="AH63" s="81"/>
      <c r="AI63" s="81"/>
      <c r="AJ63" s="81"/>
      <c r="AK63" s="81"/>
      <c r="AL63" s="81"/>
      <c r="AM63" s="81"/>
      <c r="AN63" s="81"/>
      <c r="AO63" s="81"/>
      <c r="AP63" s="81"/>
    </row>
    <row r="64" spans="1:42" ht="27" customHeight="1" x14ac:dyDescent="0.2">
      <c r="A64" s="65"/>
      <c r="B64" s="99"/>
      <c r="C64" s="100" t="s">
        <v>104</v>
      </c>
      <c r="D64" s="101"/>
      <c r="E64" s="101"/>
      <c r="F64" s="102"/>
      <c r="G64" s="102"/>
      <c r="H64" s="102"/>
      <c r="I64" s="102"/>
      <c r="J64" s="102"/>
      <c r="K64" s="102"/>
      <c r="L64" s="102"/>
      <c r="M64" s="102"/>
      <c r="N64" s="102"/>
      <c r="O64" s="102"/>
      <c r="P64" s="103"/>
      <c r="Q64" s="65"/>
      <c r="R64" s="81"/>
      <c r="S64" s="81"/>
      <c r="T64" s="81"/>
      <c r="U64" s="81"/>
      <c r="V64" s="81"/>
      <c r="W64" s="81"/>
      <c r="X64" s="81"/>
      <c r="Y64" s="81"/>
      <c r="Z64" s="81"/>
      <c r="AA64" s="81"/>
      <c r="AB64" s="81"/>
      <c r="AC64" s="81"/>
      <c r="AD64" s="81"/>
      <c r="AE64" s="81"/>
      <c r="AF64" s="81"/>
      <c r="AG64" s="81"/>
      <c r="AH64" s="81"/>
      <c r="AI64" s="81"/>
      <c r="AJ64" s="81"/>
      <c r="AK64" s="81"/>
      <c r="AL64" s="81"/>
      <c r="AM64" s="81"/>
      <c r="AN64" s="81"/>
      <c r="AO64" s="81"/>
      <c r="AP64" s="81"/>
    </row>
    <row r="65" spans="1:42" x14ac:dyDescent="0.2">
      <c r="A65" s="65"/>
      <c r="B65" s="104"/>
      <c r="C65" s="81"/>
      <c r="D65" s="81"/>
      <c r="E65" s="81"/>
      <c r="F65" s="81"/>
      <c r="G65" s="81"/>
      <c r="H65" s="81"/>
      <c r="I65" s="81"/>
      <c r="J65" s="81"/>
      <c r="K65" s="81"/>
      <c r="L65" s="81"/>
      <c r="M65" s="81"/>
      <c r="N65" s="81"/>
      <c r="O65" s="81"/>
      <c r="P65" s="106"/>
      <c r="Q65" s="65"/>
      <c r="R65" s="81"/>
      <c r="S65" s="81"/>
      <c r="T65" s="81"/>
      <c r="U65" s="81"/>
      <c r="V65" s="81"/>
      <c r="W65" s="81"/>
      <c r="X65" s="81"/>
      <c r="Y65" s="81"/>
      <c r="Z65" s="81"/>
      <c r="AA65" s="81"/>
      <c r="AB65" s="81"/>
      <c r="AC65" s="81"/>
      <c r="AD65" s="81"/>
      <c r="AE65" s="81"/>
      <c r="AF65" s="81"/>
      <c r="AG65" s="81"/>
      <c r="AH65" s="81"/>
      <c r="AI65" s="81"/>
      <c r="AJ65" s="81"/>
      <c r="AK65" s="81"/>
      <c r="AL65" s="81"/>
      <c r="AM65" s="81"/>
      <c r="AN65" s="81"/>
      <c r="AO65" s="81"/>
      <c r="AP65" s="81"/>
    </row>
    <row r="66" spans="1:42" x14ac:dyDescent="0.2">
      <c r="A66" s="65"/>
      <c r="B66" s="104"/>
      <c r="C66" s="89" t="s">
        <v>105</v>
      </c>
      <c r="D66" s="89"/>
      <c r="E66" s="89"/>
      <c r="F66" s="115"/>
      <c r="G66" s="115"/>
      <c r="H66" s="115"/>
      <c r="I66" s="115"/>
      <c r="J66" s="115"/>
      <c r="K66" s="115"/>
      <c r="L66" s="115"/>
      <c r="M66" s="115"/>
      <c r="N66" s="115"/>
      <c r="O66" s="115"/>
      <c r="P66" s="106"/>
      <c r="Q66" s="65"/>
      <c r="R66" s="81"/>
      <c r="S66" s="81"/>
      <c r="T66" s="81"/>
      <c r="U66" s="81"/>
      <c r="V66" s="81"/>
      <c r="W66" s="81"/>
      <c r="X66" s="81"/>
      <c r="Y66" s="81"/>
      <c r="Z66" s="81"/>
      <c r="AA66" s="81"/>
      <c r="AB66" s="81"/>
      <c r="AC66" s="81"/>
      <c r="AD66" s="81"/>
      <c r="AE66" s="81"/>
      <c r="AF66" s="81"/>
      <c r="AG66" s="81"/>
      <c r="AH66" s="81"/>
      <c r="AI66" s="81"/>
      <c r="AJ66" s="81"/>
      <c r="AK66" s="81"/>
      <c r="AL66" s="81"/>
      <c r="AM66" s="81"/>
      <c r="AN66" s="81"/>
      <c r="AO66" s="81"/>
      <c r="AP66" s="81"/>
    </row>
    <row r="67" spans="1:42" x14ac:dyDescent="0.2">
      <c r="A67" s="65"/>
      <c r="B67" s="104"/>
      <c r="C67" s="67" t="s">
        <v>106</v>
      </c>
      <c r="D67" s="67"/>
      <c r="E67" s="67"/>
      <c r="F67" s="115"/>
      <c r="G67" s="115"/>
      <c r="H67" s="115"/>
      <c r="I67" s="115"/>
      <c r="J67" s="115"/>
      <c r="K67" s="115"/>
      <c r="L67" s="115"/>
      <c r="M67" s="115"/>
      <c r="N67" s="115"/>
      <c r="O67" s="115"/>
      <c r="P67" s="106"/>
      <c r="Q67" s="65"/>
      <c r="R67" s="81"/>
      <c r="S67" s="81"/>
      <c r="T67" s="81"/>
      <c r="U67" s="81"/>
      <c r="V67" s="81"/>
      <c r="W67" s="81"/>
      <c r="X67" s="81"/>
      <c r="Y67" s="81"/>
      <c r="Z67" s="81"/>
      <c r="AA67" s="81"/>
      <c r="AB67" s="81"/>
      <c r="AC67" s="81"/>
      <c r="AD67" s="81"/>
      <c r="AE67" s="81"/>
      <c r="AF67" s="81"/>
      <c r="AG67" s="81"/>
      <c r="AH67" s="81"/>
      <c r="AI67" s="81"/>
      <c r="AJ67" s="81"/>
      <c r="AK67" s="81"/>
      <c r="AL67" s="81"/>
      <c r="AM67" s="81"/>
      <c r="AN67" s="81"/>
      <c r="AO67" s="81"/>
      <c r="AP67" s="81"/>
    </row>
    <row r="68" spans="1:42" x14ac:dyDescent="0.2">
      <c r="A68" s="65"/>
      <c r="B68" s="116"/>
      <c r="C68" s="246"/>
      <c r="D68" s="247"/>
      <c r="E68" s="247"/>
      <c r="F68" s="247"/>
      <c r="G68" s="247"/>
      <c r="H68" s="247"/>
      <c r="I68" s="117"/>
      <c r="J68" s="96" t="s">
        <v>108</v>
      </c>
      <c r="K68" s="115"/>
      <c r="L68" s="115"/>
      <c r="M68" s="115"/>
      <c r="N68" s="115"/>
      <c r="O68" s="115"/>
      <c r="P68" s="106"/>
      <c r="Q68" s="65"/>
      <c r="R68" s="81"/>
      <c r="S68" s="81"/>
      <c r="T68" s="81"/>
      <c r="U68" s="81"/>
      <c r="V68" s="81"/>
      <c r="W68" s="81"/>
      <c r="X68" s="81"/>
      <c r="Y68" s="81"/>
      <c r="Z68" s="81"/>
      <c r="AA68" s="81"/>
      <c r="AB68" s="81"/>
      <c r="AC68" s="81"/>
      <c r="AD68" s="81"/>
      <c r="AE68" s="81"/>
      <c r="AF68" s="81"/>
      <c r="AG68" s="81"/>
      <c r="AH68" s="81"/>
      <c r="AI68" s="81"/>
      <c r="AJ68" s="81"/>
      <c r="AK68" s="81"/>
      <c r="AL68" s="81"/>
      <c r="AM68" s="81"/>
      <c r="AN68" s="81"/>
      <c r="AO68" s="81"/>
      <c r="AP68" s="81"/>
    </row>
    <row r="69" spans="1:42" x14ac:dyDescent="0.2">
      <c r="A69" s="65"/>
      <c r="B69" s="104"/>
      <c r="C69" s="115"/>
      <c r="D69" s="115"/>
      <c r="E69" s="115"/>
      <c r="F69" s="115"/>
      <c r="G69" s="115"/>
      <c r="H69" s="115"/>
      <c r="I69" s="115"/>
      <c r="J69" s="115"/>
      <c r="K69" s="115"/>
      <c r="L69" s="115"/>
      <c r="M69" s="115"/>
      <c r="N69" s="115"/>
      <c r="O69" s="115"/>
      <c r="P69" s="106"/>
      <c r="Q69" s="65"/>
      <c r="R69" s="81"/>
      <c r="S69" s="81"/>
      <c r="T69" s="81"/>
      <c r="U69" s="81"/>
      <c r="V69" s="81"/>
      <c r="W69" s="81"/>
      <c r="X69" s="81"/>
      <c r="Y69" s="81"/>
      <c r="Z69" s="81"/>
      <c r="AA69" s="81"/>
      <c r="AB69" s="81"/>
      <c r="AC69" s="81"/>
      <c r="AD69" s="81"/>
      <c r="AE69" s="81"/>
      <c r="AF69" s="81"/>
      <c r="AG69" s="81"/>
      <c r="AH69" s="81"/>
      <c r="AI69" s="81"/>
      <c r="AJ69" s="81"/>
      <c r="AK69" s="81"/>
      <c r="AL69" s="81"/>
      <c r="AM69" s="81"/>
      <c r="AN69" s="81"/>
      <c r="AO69" s="81"/>
      <c r="AP69" s="81"/>
    </row>
    <row r="70" spans="1:42" x14ac:dyDescent="0.2">
      <c r="A70" s="65"/>
      <c r="B70" s="104"/>
      <c r="C70" s="89" t="s">
        <v>153</v>
      </c>
      <c r="D70" s="89"/>
      <c r="E70" s="89"/>
      <c r="F70" s="115"/>
      <c r="G70" s="115"/>
      <c r="H70" s="115"/>
      <c r="I70" s="115"/>
      <c r="J70" s="115"/>
      <c r="K70" s="115"/>
      <c r="L70" s="115"/>
      <c r="M70" s="115"/>
      <c r="N70" s="115"/>
      <c r="O70" s="115"/>
      <c r="P70" s="106"/>
      <c r="Q70" s="65"/>
      <c r="R70" s="81"/>
      <c r="S70" s="81"/>
      <c r="T70" s="81"/>
      <c r="U70" s="81"/>
      <c r="V70" s="81"/>
      <c r="W70" s="81"/>
      <c r="X70" s="81"/>
      <c r="Y70" s="81"/>
      <c r="Z70" s="81"/>
      <c r="AA70" s="81"/>
      <c r="AB70" s="81"/>
      <c r="AC70" s="81"/>
      <c r="AD70" s="81"/>
      <c r="AE70" s="81"/>
      <c r="AF70" s="81"/>
      <c r="AG70" s="81"/>
      <c r="AH70" s="81"/>
      <c r="AI70" s="81"/>
      <c r="AJ70" s="81"/>
      <c r="AK70" s="81"/>
      <c r="AL70" s="81"/>
      <c r="AM70" s="81"/>
      <c r="AN70" s="81"/>
      <c r="AO70" s="81"/>
      <c r="AP70" s="81"/>
    </row>
    <row r="71" spans="1:42" ht="29.25" customHeight="1" x14ac:dyDescent="0.2">
      <c r="A71" s="65"/>
      <c r="B71" s="104"/>
      <c r="C71" s="252" t="s">
        <v>246</v>
      </c>
      <c r="D71" s="252"/>
      <c r="E71" s="252"/>
      <c r="F71" s="252"/>
      <c r="G71" s="252"/>
      <c r="H71" s="252"/>
      <c r="I71" s="252"/>
      <c r="J71" s="252"/>
      <c r="K71" s="252"/>
      <c r="L71" s="252"/>
      <c r="M71" s="252"/>
      <c r="N71" s="252"/>
      <c r="O71" s="252"/>
      <c r="P71" s="118"/>
      <c r="Q71" s="65"/>
      <c r="R71" s="81"/>
      <c r="S71" s="81"/>
      <c r="T71" s="81"/>
      <c r="U71" s="81"/>
      <c r="V71" s="81"/>
      <c r="W71" s="81"/>
      <c r="X71" s="81"/>
      <c r="Y71" s="81"/>
      <c r="Z71" s="81"/>
      <c r="AA71" s="81"/>
      <c r="AB71" s="81"/>
      <c r="AC71" s="81"/>
      <c r="AD71" s="81"/>
      <c r="AE71" s="81"/>
      <c r="AF71" s="81"/>
      <c r="AG71" s="81"/>
      <c r="AH71" s="81"/>
      <c r="AI71" s="81"/>
      <c r="AJ71" s="81"/>
      <c r="AK71" s="81"/>
      <c r="AL71" s="81"/>
      <c r="AM71" s="81"/>
      <c r="AN71" s="81"/>
      <c r="AO71" s="81"/>
      <c r="AP71" s="81"/>
    </row>
    <row r="72" spans="1:42" x14ac:dyDescent="0.2">
      <c r="A72" s="65"/>
      <c r="B72" s="116"/>
      <c r="C72" s="246"/>
      <c r="D72" s="247"/>
      <c r="E72" s="247"/>
      <c r="F72" s="247"/>
      <c r="G72" s="247"/>
      <c r="H72" s="247"/>
      <c r="I72" s="117"/>
      <c r="J72" s="96" t="s">
        <v>40</v>
      </c>
      <c r="K72" s="115"/>
      <c r="L72" s="115"/>
      <c r="M72" s="115"/>
      <c r="N72" s="115"/>
      <c r="O72" s="115"/>
      <c r="P72" s="106"/>
      <c r="Q72" s="65"/>
      <c r="R72" s="81"/>
      <c r="S72" s="81"/>
      <c r="T72" s="81"/>
      <c r="U72" s="81"/>
      <c r="V72" s="81"/>
      <c r="W72" s="81"/>
      <c r="X72" s="81"/>
      <c r="Y72" s="81"/>
      <c r="Z72" s="81"/>
      <c r="AA72" s="81"/>
      <c r="AB72" s="81"/>
      <c r="AC72" s="81"/>
      <c r="AD72" s="81"/>
      <c r="AE72" s="81"/>
      <c r="AF72" s="81"/>
      <c r="AG72" s="81"/>
      <c r="AH72" s="81"/>
      <c r="AI72" s="81"/>
      <c r="AJ72" s="81"/>
      <c r="AK72" s="81"/>
      <c r="AL72" s="81"/>
      <c r="AM72" s="81"/>
      <c r="AN72" s="81"/>
      <c r="AO72" s="81"/>
      <c r="AP72" s="81"/>
    </row>
    <row r="73" spans="1:42" x14ac:dyDescent="0.2">
      <c r="A73" s="65"/>
      <c r="B73" s="104"/>
      <c r="C73" s="115"/>
      <c r="D73" s="115"/>
      <c r="E73" s="115"/>
      <c r="F73" s="115"/>
      <c r="G73" s="115"/>
      <c r="H73" s="115"/>
      <c r="I73" s="115"/>
      <c r="J73" s="115"/>
      <c r="K73" s="115"/>
      <c r="L73" s="115"/>
      <c r="M73" s="115"/>
      <c r="N73" s="115"/>
      <c r="O73" s="115"/>
      <c r="P73" s="106"/>
      <c r="Q73" s="65"/>
      <c r="R73" s="81"/>
      <c r="S73" s="81"/>
      <c r="T73" s="81"/>
      <c r="U73" s="81"/>
      <c r="V73" s="81"/>
      <c r="W73" s="81"/>
      <c r="X73" s="81"/>
      <c r="Y73" s="81"/>
      <c r="Z73" s="81"/>
      <c r="AA73" s="81"/>
      <c r="AB73" s="81"/>
      <c r="AC73" s="81"/>
      <c r="AD73" s="81"/>
      <c r="AE73" s="81"/>
      <c r="AF73" s="81"/>
      <c r="AG73" s="81"/>
      <c r="AH73" s="81"/>
      <c r="AI73" s="81"/>
      <c r="AJ73" s="81"/>
      <c r="AK73" s="81"/>
      <c r="AL73" s="81"/>
      <c r="AM73" s="81"/>
      <c r="AN73" s="81"/>
      <c r="AO73" s="81"/>
      <c r="AP73" s="81"/>
    </row>
    <row r="74" spans="1:42" x14ac:dyDescent="0.2">
      <c r="A74" s="65"/>
      <c r="B74" s="104"/>
      <c r="C74" s="89" t="s">
        <v>107</v>
      </c>
      <c r="D74" s="89"/>
      <c r="E74" s="89"/>
      <c r="F74" s="115"/>
      <c r="G74" s="115"/>
      <c r="H74" s="115"/>
      <c r="I74" s="115"/>
      <c r="J74" s="115"/>
      <c r="K74" s="115"/>
      <c r="L74" s="115"/>
      <c r="M74" s="115"/>
      <c r="N74" s="115"/>
      <c r="O74" s="115"/>
      <c r="P74" s="106"/>
      <c r="Q74" s="65"/>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row>
    <row r="75" spans="1:42" x14ac:dyDescent="0.2">
      <c r="A75" s="65"/>
      <c r="B75" s="104"/>
      <c r="C75" s="67" t="s">
        <v>181</v>
      </c>
      <c r="D75" s="119"/>
      <c r="E75" s="119"/>
      <c r="F75" s="115"/>
      <c r="G75" s="115"/>
      <c r="H75" s="115"/>
      <c r="I75" s="115"/>
      <c r="J75" s="115"/>
      <c r="K75" s="115"/>
      <c r="L75" s="115"/>
      <c r="M75" s="115"/>
      <c r="N75" s="115"/>
      <c r="O75" s="115"/>
      <c r="P75" s="106"/>
      <c r="Q75" s="65"/>
      <c r="R75" s="81"/>
      <c r="S75" s="81"/>
      <c r="T75" s="81"/>
      <c r="U75" s="81"/>
      <c r="V75" s="81"/>
      <c r="W75" s="81"/>
      <c r="X75" s="81"/>
      <c r="Y75" s="81"/>
      <c r="Z75" s="81"/>
      <c r="AA75" s="81"/>
      <c r="AB75" s="81"/>
      <c r="AC75" s="81"/>
      <c r="AD75" s="81"/>
      <c r="AE75" s="81"/>
      <c r="AF75" s="81"/>
      <c r="AG75" s="81"/>
      <c r="AH75" s="81"/>
      <c r="AI75" s="81"/>
      <c r="AJ75" s="81"/>
      <c r="AK75" s="81"/>
      <c r="AL75" s="81"/>
      <c r="AM75" s="81"/>
      <c r="AN75" s="81"/>
      <c r="AO75" s="81"/>
      <c r="AP75" s="81"/>
    </row>
    <row r="76" spans="1:42" x14ac:dyDescent="0.2">
      <c r="A76" s="65"/>
      <c r="B76" s="104"/>
      <c r="C76" s="251"/>
      <c r="D76" s="251"/>
      <c r="E76" s="251"/>
      <c r="F76" s="251"/>
      <c r="G76" s="251"/>
      <c r="H76" s="251"/>
      <c r="I76" s="115"/>
      <c r="J76" s="96" t="s">
        <v>79</v>
      </c>
      <c r="K76" s="115"/>
      <c r="L76" s="115"/>
      <c r="M76" s="115"/>
      <c r="N76" s="115"/>
      <c r="O76" s="115"/>
      <c r="P76" s="106"/>
      <c r="Q76" s="65"/>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row>
    <row r="77" spans="1:42" x14ac:dyDescent="0.2">
      <c r="A77" s="65"/>
      <c r="B77" s="104"/>
      <c r="C77" s="120"/>
      <c r="D77" s="120"/>
      <c r="E77" s="120"/>
      <c r="F77" s="120"/>
      <c r="G77" s="120"/>
      <c r="H77" s="120"/>
      <c r="I77" s="115"/>
      <c r="J77" s="96"/>
      <c r="K77" s="115"/>
      <c r="L77" s="115"/>
      <c r="M77" s="115"/>
      <c r="N77" s="115"/>
      <c r="O77" s="115"/>
      <c r="P77" s="106"/>
      <c r="Q77" s="65"/>
      <c r="R77" s="81"/>
      <c r="S77" s="81"/>
      <c r="T77" s="81"/>
      <c r="U77" s="81"/>
      <c r="V77" s="81"/>
      <c r="W77" s="81"/>
      <c r="X77" s="81"/>
      <c r="Y77" s="81"/>
      <c r="Z77" s="81"/>
      <c r="AA77" s="81"/>
      <c r="AB77" s="81"/>
      <c r="AC77" s="81"/>
      <c r="AD77" s="81"/>
      <c r="AE77" s="81"/>
      <c r="AF77" s="81"/>
      <c r="AG77" s="81"/>
      <c r="AH77" s="81"/>
      <c r="AI77" s="81"/>
      <c r="AJ77" s="81"/>
      <c r="AK77" s="81"/>
      <c r="AL77" s="81"/>
      <c r="AM77" s="81"/>
      <c r="AN77" s="81"/>
      <c r="AO77" s="81"/>
      <c r="AP77" s="81"/>
    </row>
    <row r="78" spans="1:42" x14ac:dyDescent="0.2">
      <c r="A78" s="65"/>
      <c r="B78" s="104"/>
      <c r="C78" s="89" t="s">
        <v>110</v>
      </c>
      <c r="D78" s="89"/>
      <c r="E78" s="89"/>
      <c r="F78" s="115"/>
      <c r="G78" s="115"/>
      <c r="H78" s="115"/>
      <c r="I78" s="115"/>
      <c r="J78" s="115"/>
      <c r="K78" s="115"/>
      <c r="L78" s="115"/>
      <c r="M78" s="115"/>
      <c r="N78" s="115"/>
      <c r="O78" s="115"/>
      <c r="P78" s="106"/>
      <c r="Q78" s="65"/>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row>
    <row r="79" spans="1:42" x14ac:dyDescent="0.2">
      <c r="A79" s="65"/>
      <c r="B79" s="104"/>
      <c r="C79" s="67" t="s">
        <v>111</v>
      </c>
      <c r="D79" s="119"/>
      <c r="E79" s="119"/>
      <c r="F79" s="115"/>
      <c r="G79" s="115"/>
      <c r="H79" s="115"/>
      <c r="I79" s="115"/>
      <c r="J79" s="115"/>
      <c r="K79" s="115"/>
      <c r="L79" s="115"/>
      <c r="M79" s="115"/>
      <c r="N79" s="115"/>
      <c r="O79" s="115"/>
      <c r="P79" s="106"/>
      <c r="Q79" s="65"/>
      <c r="R79" s="81"/>
      <c r="S79" s="81"/>
      <c r="T79" s="81"/>
      <c r="U79" s="81"/>
      <c r="V79" s="81"/>
      <c r="W79" s="81"/>
      <c r="X79" s="81"/>
      <c r="Y79" s="81"/>
      <c r="Z79" s="81"/>
      <c r="AA79" s="81"/>
      <c r="AB79" s="81"/>
      <c r="AC79" s="81"/>
      <c r="AD79" s="81"/>
      <c r="AE79" s="81"/>
      <c r="AF79" s="81"/>
      <c r="AG79" s="81"/>
      <c r="AH79" s="81"/>
      <c r="AI79" s="81"/>
      <c r="AJ79" s="81"/>
      <c r="AK79" s="81"/>
      <c r="AL79" s="81"/>
      <c r="AM79" s="81"/>
      <c r="AN79" s="81"/>
      <c r="AO79" s="81"/>
      <c r="AP79" s="81"/>
    </row>
    <row r="80" spans="1:42" x14ac:dyDescent="0.2">
      <c r="A80" s="65"/>
      <c r="B80" s="104"/>
      <c r="C80" s="251">
        <v>1</v>
      </c>
      <c r="D80" s="251"/>
      <c r="E80" s="251"/>
      <c r="F80" s="251"/>
      <c r="G80" s="251"/>
      <c r="H80" s="251"/>
      <c r="I80" s="115"/>
      <c r="J80" s="96" t="s">
        <v>262</v>
      </c>
      <c r="K80" s="115"/>
      <c r="L80" s="115"/>
      <c r="M80" s="115"/>
      <c r="N80" s="115"/>
      <c r="O80" s="115"/>
      <c r="P80" s="106"/>
      <c r="Q80" s="65"/>
      <c r="R80" s="81"/>
      <c r="S80" s="81"/>
      <c r="T80" s="81"/>
      <c r="U80" s="81"/>
      <c r="V80" s="81"/>
      <c r="W80" s="81"/>
      <c r="X80" s="81"/>
      <c r="Y80" s="81"/>
      <c r="Z80" s="81"/>
      <c r="AA80" s="81"/>
      <c r="AB80" s="81"/>
      <c r="AC80" s="81"/>
      <c r="AD80" s="81"/>
      <c r="AE80" s="81"/>
      <c r="AF80" s="81"/>
      <c r="AG80" s="81"/>
      <c r="AH80" s="81"/>
      <c r="AI80" s="81"/>
      <c r="AJ80" s="81"/>
      <c r="AK80" s="81"/>
      <c r="AL80" s="81"/>
      <c r="AM80" s="81"/>
      <c r="AN80" s="81"/>
      <c r="AO80" s="81"/>
      <c r="AP80" s="81"/>
    </row>
    <row r="81" spans="1:42" ht="24" customHeight="1" x14ac:dyDescent="0.2">
      <c r="A81" s="65"/>
      <c r="B81" s="112"/>
      <c r="C81" s="113"/>
      <c r="D81" s="113"/>
      <c r="E81" s="113"/>
      <c r="F81" s="113"/>
      <c r="G81" s="113"/>
      <c r="H81" s="113"/>
      <c r="I81" s="113"/>
      <c r="J81" s="113"/>
      <c r="K81" s="113"/>
      <c r="L81" s="113"/>
      <c r="M81" s="113"/>
      <c r="N81" s="113"/>
      <c r="O81" s="113"/>
      <c r="P81" s="114"/>
      <c r="Q81" s="65"/>
      <c r="R81" s="81"/>
      <c r="S81" s="81"/>
      <c r="T81" s="81"/>
      <c r="U81" s="81"/>
      <c r="V81" s="81"/>
      <c r="W81" s="81"/>
      <c r="X81" s="81"/>
      <c r="Y81" s="81"/>
      <c r="Z81" s="81"/>
      <c r="AA81" s="81"/>
      <c r="AB81" s="81"/>
      <c r="AC81" s="81"/>
      <c r="AD81" s="81"/>
      <c r="AE81" s="81"/>
      <c r="AF81" s="81"/>
      <c r="AG81" s="81"/>
      <c r="AH81" s="81"/>
      <c r="AI81" s="81"/>
      <c r="AJ81" s="81"/>
      <c r="AK81" s="81"/>
      <c r="AL81" s="81"/>
      <c r="AM81" s="81"/>
      <c r="AN81" s="81"/>
      <c r="AO81" s="81"/>
      <c r="AP81" s="81"/>
    </row>
    <row r="82" spans="1:42" x14ac:dyDescent="0.2">
      <c r="A82" s="65"/>
      <c r="B82" s="65"/>
      <c r="C82" s="65"/>
      <c r="D82" s="65"/>
      <c r="E82" s="65"/>
      <c r="F82" s="65"/>
      <c r="G82" s="65"/>
      <c r="H82" s="65"/>
      <c r="I82" s="65"/>
      <c r="J82" s="65"/>
      <c r="K82" s="65"/>
      <c r="L82" s="65"/>
      <c r="M82" s="65"/>
      <c r="N82" s="65"/>
      <c r="O82" s="65"/>
      <c r="P82" s="65"/>
      <c r="Q82" s="65"/>
      <c r="R82" s="81"/>
      <c r="S82" s="81"/>
      <c r="T82" s="81"/>
      <c r="U82" s="81"/>
      <c r="V82" s="81"/>
      <c r="W82" s="81"/>
      <c r="X82" s="81"/>
      <c r="Y82" s="81"/>
      <c r="Z82" s="81"/>
      <c r="AA82" s="81"/>
      <c r="AB82" s="81"/>
      <c r="AC82" s="81"/>
      <c r="AD82" s="81"/>
      <c r="AE82" s="81"/>
      <c r="AF82" s="81"/>
      <c r="AG82" s="81"/>
      <c r="AH82" s="81"/>
      <c r="AI82" s="81"/>
      <c r="AJ82" s="81"/>
      <c r="AK82" s="81"/>
      <c r="AL82" s="81"/>
      <c r="AM82" s="81"/>
      <c r="AN82" s="81"/>
      <c r="AO82" s="81"/>
      <c r="AP82" s="81"/>
    </row>
    <row r="83" spans="1:42" x14ac:dyDescent="0.2">
      <c r="A83" s="65"/>
      <c r="B83" s="65"/>
      <c r="C83" s="65"/>
      <c r="D83" s="65"/>
      <c r="E83" s="65"/>
      <c r="F83" s="65"/>
      <c r="G83" s="65"/>
      <c r="H83" s="65"/>
      <c r="I83" s="65"/>
      <c r="J83" s="65"/>
      <c r="K83" s="65"/>
      <c r="L83" s="65"/>
      <c r="M83" s="65"/>
      <c r="N83" s="65"/>
      <c r="O83" s="65"/>
      <c r="P83" s="65"/>
      <c r="Q83" s="65"/>
      <c r="R83" s="81"/>
      <c r="S83" s="81"/>
      <c r="T83" s="81"/>
      <c r="U83" s="81"/>
      <c r="V83" s="81"/>
      <c r="W83" s="81"/>
      <c r="X83" s="81"/>
      <c r="Y83" s="81"/>
      <c r="Z83" s="81"/>
      <c r="AA83" s="81"/>
      <c r="AB83" s="81"/>
      <c r="AC83" s="81"/>
      <c r="AD83" s="81"/>
      <c r="AE83" s="81"/>
      <c r="AF83" s="81"/>
      <c r="AG83" s="81"/>
      <c r="AH83" s="81"/>
      <c r="AI83" s="81"/>
      <c r="AJ83" s="81"/>
      <c r="AK83" s="81"/>
      <c r="AL83" s="81"/>
      <c r="AM83" s="81"/>
      <c r="AN83" s="81"/>
      <c r="AO83" s="81"/>
      <c r="AP83" s="81"/>
    </row>
    <row r="84" spans="1:42" ht="27" customHeight="1" x14ac:dyDescent="0.2">
      <c r="A84" s="65"/>
      <c r="B84" s="99"/>
      <c r="C84" s="100" t="s">
        <v>206</v>
      </c>
      <c r="D84" s="101"/>
      <c r="E84" s="101"/>
      <c r="F84" s="102"/>
      <c r="G84" s="102"/>
      <c r="H84" s="102"/>
      <c r="I84" s="102"/>
      <c r="J84" s="102"/>
      <c r="K84" s="102"/>
      <c r="L84" s="102"/>
      <c r="M84" s="102"/>
      <c r="N84" s="102"/>
      <c r="O84" s="102"/>
      <c r="P84" s="103"/>
      <c r="Q84" s="65"/>
      <c r="R84" s="81"/>
      <c r="S84" s="81"/>
      <c r="T84" s="81"/>
      <c r="U84" s="81"/>
      <c r="V84" s="81"/>
      <c r="W84" s="81"/>
      <c r="X84" s="81"/>
      <c r="Y84" s="81"/>
      <c r="Z84" s="81"/>
      <c r="AA84" s="81"/>
      <c r="AB84" s="81"/>
      <c r="AC84" s="81"/>
      <c r="AD84" s="81"/>
      <c r="AE84" s="81"/>
      <c r="AF84" s="81"/>
      <c r="AG84" s="81"/>
      <c r="AH84" s="81"/>
      <c r="AI84" s="81"/>
      <c r="AJ84" s="81"/>
      <c r="AK84" s="81"/>
      <c r="AL84" s="81"/>
      <c r="AM84" s="81"/>
      <c r="AN84" s="81"/>
      <c r="AO84" s="81"/>
      <c r="AP84" s="81"/>
    </row>
    <row r="85" spans="1:42" x14ac:dyDescent="0.2">
      <c r="A85" s="65"/>
      <c r="B85" s="104"/>
      <c r="C85" s="71"/>
      <c r="D85" s="71"/>
      <c r="E85" s="71"/>
      <c r="F85" s="71"/>
      <c r="G85" s="71"/>
      <c r="H85" s="71"/>
      <c r="I85" s="81"/>
      <c r="J85" s="105"/>
      <c r="K85" s="105"/>
      <c r="L85" s="105"/>
      <c r="M85" s="105"/>
      <c r="N85" s="105"/>
      <c r="O85" s="105"/>
      <c r="P85" s="106"/>
      <c r="Q85" s="65"/>
      <c r="R85" s="81"/>
      <c r="S85" s="81"/>
      <c r="T85" s="81"/>
      <c r="U85" s="81"/>
      <c r="V85" s="81"/>
      <c r="W85" s="81"/>
      <c r="X85" s="81"/>
      <c r="Y85" s="81"/>
      <c r="Z85" s="81"/>
      <c r="AA85" s="81"/>
      <c r="AB85" s="81"/>
      <c r="AC85" s="81"/>
      <c r="AD85" s="81"/>
      <c r="AE85" s="81"/>
      <c r="AF85" s="81"/>
      <c r="AG85" s="81"/>
      <c r="AH85" s="81"/>
      <c r="AI85" s="81"/>
      <c r="AJ85" s="81"/>
      <c r="AK85" s="81"/>
      <c r="AL85" s="81"/>
      <c r="AM85" s="81"/>
      <c r="AN85" s="81"/>
      <c r="AO85" s="81"/>
      <c r="AP85" s="81"/>
    </row>
    <row r="86" spans="1:42" x14ac:dyDescent="0.2">
      <c r="A86" s="65"/>
      <c r="B86" s="104"/>
      <c r="C86" s="89" t="s">
        <v>212</v>
      </c>
      <c r="D86" s="89"/>
      <c r="E86" s="89"/>
      <c r="F86" s="115"/>
      <c r="G86" s="115"/>
      <c r="H86" s="115"/>
      <c r="I86" s="115"/>
      <c r="J86" s="115"/>
      <c r="K86" s="115"/>
      <c r="L86" s="115"/>
      <c r="M86" s="115"/>
      <c r="N86" s="115"/>
      <c r="O86" s="115"/>
      <c r="P86" s="106"/>
      <c r="Q86" s="65"/>
      <c r="R86" s="81"/>
      <c r="S86" s="81"/>
      <c r="T86" s="81"/>
      <c r="U86" s="81"/>
      <c r="V86" s="81"/>
      <c r="W86" s="81"/>
      <c r="X86" s="81"/>
      <c r="Y86" s="81"/>
      <c r="Z86" s="81"/>
      <c r="AA86" s="81"/>
      <c r="AB86" s="81"/>
      <c r="AC86" s="81"/>
      <c r="AD86" s="81"/>
      <c r="AE86" s="81"/>
      <c r="AF86" s="81"/>
      <c r="AG86" s="81"/>
      <c r="AH86" s="81"/>
      <c r="AI86" s="81"/>
      <c r="AJ86" s="81"/>
      <c r="AK86" s="81"/>
      <c r="AL86" s="81"/>
      <c r="AM86" s="81"/>
      <c r="AN86" s="81"/>
      <c r="AO86" s="81"/>
      <c r="AP86" s="81"/>
    </row>
    <row r="87" spans="1:42" x14ac:dyDescent="0.2">
      <c r="A87" s="65"/>
      <c r="B87" s="104"/>
      <c r="C87" s="67" t="s">
        <v>215</v>
      </c>
      <c r="D87" s="67"/>
      <c r="E87" s="67"/>
      <c r="F87" s="115"/>
      <c r="G87" s="115"/>
      <c r="H87" s="115"/>
      <c r="I87" s="115"/>
      <c r="J87" s="115"/>
      <c r="K87" s="115"/>
      <c r="L87" s="115"/>
      <c r="M87" s="115"/>
      <c r="N87" s="115"/>
      <c r="O87" s="115"/>
      <c r="P87" s="106"/>
      <c r="Q87" s="65"/>
      <c r="R87" s="81"/>
      <c r="S87" s="81"/>
      <c r="T87" s="81"/>
      <c r="U87" s="81"/>
      <c r="V87" s="81"/>
      <c r="W87" s="81"/>
      <c r="X87" s="81"/>
      <c r="Y87" s="81"/>
      <c r="Z87" s="81"/>
      <c r="AA87" s="81"/>
      <c r="AB87" s="81"/>
      <c r="AC87" s="81"/>
      <c r="AD87" s="81"/>
      <c r="AE87" s="81"/>
      <c r="AF87" s="81"/>
      <c r="AG87" s="81"/>
      <c r="AH87" s="81"/>
      <c r="AI87" s="81"/>
      <c r="AJ87" s="81"/>
      <c r="AK87" s="81"/>
      <c r="AL87" s="81"/>
      <c r="AM87" s="81"/>
      <c r="AN87" s="81"/>
      <c r="AO87" s="81"/>
      <c r="AP87" s="81"/>
    </row>
    <row r="88" spans="1:42" x14ac:dyDescent="0.2">
      <c r="A88" s="65"/>
      <c r="B88" s="116"/>
      <c r="C88" s="246"/>
      <c r="D88" s="247"/>
      <c r="E88" s="247"/>
      <c r="F88" s="247"/>
      <c r="G88" s="247"/>
      <c r="H88" s="247"/>
      <c r="I88" s="117"/>
      <c r="J88" s="96" t="s">
        <v>213</v>
      </c>
      <c r="K88" s="115"/>
      <c r="L88" s="115"/>
      <c r="M88" s="115"/>
      <c r="N88" s="115"/>
      <c r="O88" s="115"/>
      <c r="P88" s="106"/>
      <c r="Q88" s="65"/>
      <c r="R88" s="81"/>
      <c r="S88" s="81"/>
      <c r="T88" s="81"/>
      <c r="U88" s="81"/>
      <c r="V88" s="81"/>
      <c r="W88" s="81"/>
      <c r="X88" s="81"/>
      <c r="Y88" s="81"/>
      <c r="Z88" s="81"/>
      <c r="AA88" s="81"/>
      <c r="AB88" s="81"/>
      <c r="AC88" s="81"/>
      <c r="AD88" s="81"/>
      <c r="AE88" s="81"/>
      <c r="AF88" s="81"/>
      <c r="AG88" s="81"/>
      <c r="AH88" s="81"/>
      <c r="AI88" s="81"/>
      <c r="AJ88" s="81"/>
      <c r="AK88" s="81"/>
      <c r="AL88" s="81"/>
      <c r="AM88" s="81"/>
      <c r="AN88" s="81"/>
      <c r="AO88" s="81"/>
      <c r="AP88" s="81"/>
    </row>
    <row r="89" spans="1:42" x14ac:dyDescent="0.2">
      <c r="A89" s="65"/>
      <c r="B89" s="104"/>
      <c r="C89" s="71"/>
      <c r="D89" s="71"/>
      <c r="E89" s="71"/>
      <c r="F89" s="71"/>
      <c r="G89" s="71"/>
      <c r="H89" s="71"/>
      <c r="I89" s="81"/>
      <c r="J89" s="105"/>
      <c r="K89" s="105"/>
      <c r="L89" s="105"/>
      <c r="M89" s="105"/>
      <c r="N89" s="105"/>
      <c r="O89" s="105"/>
      <c r="P89" s="106"/>
      <c r="Q89" s="65"/>
      <c r="R89" s="81"/>
      <c r="S89" s="81"/>
      <c r="T89" s="81"/>
      <c r="U89" s="81"/>
      <c r="V89" s="81"/>
      <c r="W89" s="81"/>
      <c r="X89" s="81"/>
      <c r="Y89" s="81"/>
      <c r="Z89" s="81"/>
      <c r="AA89" s="81"/>
      <c r="AB89" s="81"/>
      <c r="AC89" s="81"/>
      <c r="AD89" s="81"/>
      <c r="AE89" s="81"/>
      <c r="AF89" s="81"/>
      <c r="AG89" s="81"/>
      <c r="AH89" s="81"/>
      <c r="AI89" s="81"/>
      <c r="AJ89" s="81"/>
      <c r="AK89" s="81"/>
      <c r="AL89" s="81"/>
      <c r="AM89" s="81"/>
      <c r="AN89" s="81"/>
      <c r="AO89" s="81"/>
      <c r="AP89" s="81"/>
    </row>
    <row r="90" spans="1:42" x14ac:dyDescent="0.2">
      <c r="A90" s="65"/>
      <c r="B90" s="104"/>
      <c r="C90" s="89" t="s">
        <v>220</v>
      </c>
      <c r="D90" s="71"/>
      <c r="E90" s="71"/>
      <c r="F90" s="71"/>
      <c r="G90" s="71"/>
      <c r="H90" s="71"/>
      <c r="I90" s="81"/>
      <c r="J90" s="105"/>
      <c r="K90" s="105"/>
      <c r="L90" s="105"/>
      <c r="M90" s="105"/>
      <c r="N90" s="105"/>
      <c r="O90" s="105"/>
      <c r="P90" s="106"/>
      <c r="Q90" s="65"/>
      <c r="R90" s="81"/>
      <c r="S90" s="81"/>
      <c r="T90" s="81"/>
      <c r="U90" s="81"/>
      <c r="V90" s="81"/>
      <c r="W90" s="81"/>
      <c r="X90" s="81"/>
      <c r="Y90" s="81"/>
      <c r="Z90" s="81"/>
      <c r="AA90" s="81"/>
      <c r="AB90" s="81"/>
      <c r="AC90" s="81"/>
      <c r="AD90" s="81"/>
      <c r="AE90" s="81"/>
      <c r="AF90" s="81"/>
      <c r="AG90" s="81"/>
      <c r="AH90" s="81"/>
      <c r="AI90" s="81"/>
      <c r="AJ90" s="81"/>
      <c r="AK90" s="81"/>
      <c r="AL90" s="81"/>
      <c r="AM90" s="81"/>
      <c r="AN90" s="81"/>
      <c r="AO90" s="81"/>
      <c r="AP90" s="81"/>
    </row>
    <row r="91" spans="1:42" x14ac:dyDescent="0.2">
      <c r="A91" s="65"/>
      <c r="B91" s="104"/>
      <c r="C91" s="67" t="s">
        <v>221</v>
      </c>
      <c r="D91" s="71"/>
      <c r="E91" s="71"/>
      <c r="F91" s="71"/>
      <c r="G91" s="71"/>
      <c r="H91" s="71"/>
      <c r="I91" s="81"/>
      <c r="J91" s="105"/>
      <c r="K91" s="105"/>
      <c r="L91" s="105"/>
      <c r="M91" s="105"/>
      <c r="N91" s="105"/>
      <c r="O91" s="105"/>
      <c r="P91" s="106"/>
      <c r="Q91" s="65"/>
      <c r="R91" s="81"/>
      <c r="S91" s="81"/>
      <c r="T91" s="81"/>
      <c r="U91" s="81"/>
      <c r="V91" s="81"/>
      <c r="W91" s="81"/>
      <c r="X91" s="81"/>
      <c r="Y91" s="81"/>
      <c r="Z91" s="81"/>
      <c r="AA91" s="81"/>
      <c r="AB91" s="81"/>
      <c r="AC91" s="81"/>
      <c r="AD91" s="81"/>
      <c r="AE91" s="81"/>
      <c r="AF91" s="81"/>
      <c r="AG91" s="81"/>
      <c r="AH91" s="81"/>
      <c r="AI91" s="81"/>
      <c r="AJ91" s="81"/>
      <c r="AK91" s="81"/>
      <c r="AL91" s="81"/>
      <c r="AM91" s="81"/>
      <c r="AN91" s="81"/>
      <c r="AO91" s="81"/>
      <c r="AP91" s="81"/>
    </row>
    <row r="92" spans="1:42" ht="6" customHeight="1" x14ac:dyDescent="0.2">
      <c r="A92" s="65"/>
      <c r="B92" s="104"/>
      <c r="C92" s="67"/>
      <c r="D92" s="71"/>
      <c r="E92" s="71"/>
      <c r="F92" s="71"/>
      <c r="G92" s="71"/>
      <c r="H92" s="71"/>
      <c r="I92" s="81"/>
      <c r="J92" s="105"/>
      <c r="K92" s="105"/>
      <c r="L92" s="105"/>
      <c r="M92" s="105"/>
      <c r="N92" s="105"/>
      <c r="O92" s="105"/>
      <c r="P92" s="106"/>
      <c r="Q92" s="65"/>
      <c r="R92" s="81"/>
      <c r="S92" s="81"/>
      <c r="T92" s="81"/>
      <c r="U92" s="81"/>
      <c r="V92" s="81"/>
      <c r="W92" s="81"/>
      <c r="X92" s="81"/>
      <c r="Y92" s="81"/>
      <c r="Z92" s="81"/>
      <c r="AA92" s="81"/>
      <c r="AB92" s="81"/>
      <c r="AC92" s="81"/>
      <c r="AD92" s="81"/>
      <c r="AE92" s="81"/>
      <c r="AF92" s="81"/>
      <c r="AG92" s="81"/>
      <c r="AH92" s="81"/>
      <c r="AI92" s="81"/>
      <c r="AJ92" s="81"/>
      <c r="AK92" s="81"/>
      <c r="AL92" s="81"/>
      <c r="AM92" s="81"/>
      <c r="AN92" s="81"/>
      <c r="AO92" s="81"/>
      <c r="AP92" s="81"/>
    </row>
    <row r="93" spans="1:42" x14ac:dyDescent="0.2">
      <c r="A93" s="65"/>
      <c r="B93" s="104"/>
      <c r="C93" s="107" t="s">
        <v>207</v>
      </c>
      <c r="D93" s="71"/>
      <c r="E93" s="121">
        <f>IF(InputData=TRUE,Uplink,0)</f>
        <v>0</v>
      </c>
      <c r="F93" s="109" t="s">
        <v>211</v>
      </c>
      <c r="G93" s="71"/>
      <c r="H93" s="71"/>
      <c r="I93" s="81"/>
      <c r="J93" s="105"/>
      <c r="K93" s="105"/>
      <c r="L93" s="105"/>
      <c r="M93" s="105"/>
      <c r="N93" s="105"/>
      <c r="O93" s="105"/>
      <c r="P93" s="106"/>
      <c r="Q93" s="65"/>
      <c r="R93" s="81"/>
      <c r="S93" s="81"/>
      <c r="T93" s="81"/>
      <c r="U93" s="81"/>
      <c r="V93" s="81"/>
      <c r="W93" s="81"/>
      <c r="X93" s="81"/>
      <c r="Y93" s="81"/>
      <c r="Z93" s="81"/>
      <c r="AA93" s="81"/>
      <c r="AB93" s="81"/>
      <c r="AC93" s="81"/>
      <c r="AD93" s="81"/>
      <c r="AE93" s="81"/>
      <c r="AF93" s="81"/>
      <c r="AG93" s="81"/>
      <c r="AH93" s="81"/>
      <c r="AI93" s="81"/>
      <c r="AJ93" s="81"/>
      <c r="AK93" s="81"/>
      <c r="AL93" s="81"/>
      <c r="AM93" s="81"/>
      <c r="AN93" s="81"/>
      <c r="AO93" s="81"/>
      <c r="AP93" s="81"/>
    </row>
    <row r="94" spans="1:42" x14ac:dyDescent="0.2">
      <c r="A94" s="65"/>
      <c r="B94" s="104"/>
      <c r="C94" s="107" t="s">
        <v>208</v>
      </c>
      <c r="D94" s="71"/>
      <c r="E94" s="110">
        <f>IF(InputData=TRUE,VLOOKUP(Client_Access,Downlink,2,FALSE),0)</f>
        <v>0</v>
      </c>
      <c r="F94" s="109" t="s">
        <v>46</v>
      </c>
      <c r="G94" s="71"/>
      <c r="H94" s="71"/>
      <c r="I94" s="81"/>
      <c r="J94" s="105"/>
      <c r="K94" s="105"/>
      <c r="L94" s="105"/>
      <c r="M94" s="105"/>
      <c r="N94" s="105"/>
      <c r="O94" s="105"/>
      <c r="P94" s="106"/>
      <c r="Q94" s="65"/>
      <c r="R94" s="81"/>
      <c r="S94" s="81"/>
      <c r="T94" s="81"/>
      <c r="U94" s="81"/>
      <c r="V94" s="81"/>
      <c r="W94" s="81"/>
      <c r="X94" s="81"/>
      <c r="Y94" s="81"/>
      <c r="Z94" s="81"/>
      <c r="AA94" s="81"/>
      <c r="AB94" s="81"/>
      <c r="AC94" s="81"/>
      <c r="AD94" s="81"/>
      <c r="AE94" s="81"/>
      <c r="AF94" s="81"/>
      <c r="AG94" s="81"/>
      <c r="AH94" s="81"/>
      <c r="AI94" s="81"/>
      <c r="AJ94" s="81"/>
      <c r="AK94" s="81"/>
      <c r="AL94" s="81"/>
      <c r="AM94" s="81"/>
      <c r="AN94" s="81"/>
      <c r="AO94" s="81"/>
      <c r="AP94" s="81"/>
    </row>
    <row r="95" spans="1:42" x14ac:dyDescent="0.2">
      <c r="A95" s="65"/>
      <c r="B95" s="104"/>
      <c r="C95" s="107"/>
      <c r="D95" s="71"/>
      <c r="E95" s="110"/>
      <c r="F95" s="109"/>
      <c r="G95" s="71"/>
      <c r="H95" s="71"/>
      <c r="I95" s="81"/>
      <c r="J95" s="105"/>
      <c r="K95" s="105"/>
      <c r="L95" s="105"/>
      <c r="M95" s="105"/>
      <c r="N95" s="105"/>
      <c r="O95" s="105"/>
      <c r="P95" s="106"/>
      <c r="Q95" s="65"/>
      <c r="R95" s="81"/>
      <c r="S95" s="81"/>
      <c r="T95" s="81"/>
      <c r="U95" s="81"/>
      <c r="V95" s="81"/>
      <c r="W95" s="81"/>
      <c r="X95" s="81"/>
      <c r="Y95" s="81"/>
      <c r="Z95" s="81"/>
      <c r="AA95" s="81"/>
      <c r="AB95" s="81"/>
      <c r="AC95" s="81"/>
      <c r="AD95" s="81"/>
      <c r="AE95" s="81"/>
      <c r="AF95" s="81"/>
      <c r="AG95" s="81"/>
      <c r="AH95" s="81"/>
      <c r="AI95" s="81"/>
      <c r="AJ95" s="81"/>
      <c r="AK95" s="81"/>
      <c r="AL95" s="81"/>
      <c r="AM95" s="81"/>
      <c r="AN95" s="81"/>
      <c r="AO95" s="81"/>
      <c r="AP95" s="81"/>
    </row>
    <row r="96" spans="1:42" x14ac:dyDescent="0.2">
      <c r="A96" s="65"/>
      <c r="B96" s="104"/>
      <c r="C96" s="248" t="str">
        <f>IF(Throughput&gt;1.25,"As the total throughput on the Site-to-Site VPN connection exceeds 1.25 Gbps, AWS Transit Gateway shall be used. This calculator does however not cover the AWS Transit Gateway service, refer to https://aws.amazon.com/transit-gateway/.",IF(No_Sites&gt;10,"As the total number of sites to be connected exceeds 10, AWS Transit Gateway shall be used. This calculator does however not cover the AWS Transit Gateway service, refer to https://aws.amazon.com/transit-gateway/.",""))</f>
        <v/>
      </c>
      <c r="D96" s="248"/>
      <c r="E96" s="248"/>
      <c r="F96" s="248"/>
      <c r="G96" s="248"/>
      <c r="H96" s="248"/>
      <c r="I96" s="248"/>
      <c r="J96" s="248"/>
      <c r="K96" s="248"/>
      <c r="L96" s="248"/>
      <c r="M96" s="248"/>
      <c r="N96" s="248"/>
      <c r="O96" s="248"/>
      <c r="P96" s="106"/>
      <c r="Q96" s="65"/>
      <c r="R96" s="81"/>
      <c r="S96" s="81"/>
      <c r="T96" s="81"/>
      <c r="U96" s="81"/>
      <c r="V96" s="81"/>
      <c r="W96" s="81"/>
      <c r="X96" s="81"/>
      <c r="Y96" s="81"/>
      <c r="Z96" s="81"/>
      <c r="AA96" s="81"/>
      <c r="AB96" s="81"/>
      <c r="AC96" s="81"/>
      <c r="AD96" s="81"/>
      <c r="AE96" s="81"/>
      <c r="AF96" s="81"/>
      <c r="AG96" s="81"/>
      <c r="AH96" s="81"/>
      <c r="AI96" s="81"/>
      <c r="AJ96" s="81"/>
      <c r="AK96" s="81"/>
      <c r="AL96" s="81"/>
      <c r="AM96" s="81"/>
      <c r="AN96" s="81"/>
      <c r="AO96" s="81"/>
      <c r="AP96" s="81"/>
    </row>
    <row r="97" spans="1:42" x14ac:dyDescent="0.2">
      <c r="A97" s="65"/>
      <c r="B97" s="104"/>
      <c r="C97" s="248"/>
      <c r="D97" s="248"/>
      <c r="E97" s="248"/>
      <c r="F97" s="248"/>
      <c r="G97" s="248"/>
      <c r="H97" s="248"/>
      <c r="I97" s="248"/>
      <c r="J97" s="248"/>
      <c r="K97" s="248"/>
      <c r="L97" s="248"/>
      <c r="M97" s="248"/>
      <c r="N97" s="248"/>
      <c r="O97" s="248"/>
      <c r="P97" s="106"/>
      <c r="Q97" s="65"/>
      <c r="R97" s="81"/>
      <c r="S97" s="81"/>
      <c r="T97" s="81"/>
      <c r="U97" s="81"/>
      <c r="V97" s="81"/>
      <c r="W97" s="81"/>
      <c r="X97" s="81"/>
      <c r="Y97" s="81"/>
      <c r="Z97" s="81"/>
      <c r="AA97" s="81"/>
      <c r="AB97" s="81"/>
      <c r="AC97" s="81"/>
      <c r="AD97" s="81"/>
      <c r="AE97" s="81"/>
      <c r="AF97" s="81"/>
      <c r="AG97" s="81"/>
      <c r="AH97" s="81"/>
      <c r="AI97" s="81"/>
      <c r="AJ97" s="81"/>
      <c r="AK97" s="81"/>
      <c r="AL97" s="81"/>
      <c r="AM97" s="81"/>
      <c r="AN97" s="81"/>
      <c r="AO97" s="81"/>
      <c r="AP97" s="81"/>
    </row>
    <row r="98" spans="1:42" x14ac:dyDescent="0.2">
      <c r="A98" s="65"/>
      <c r="B98" s="112"/>
      <c r="C98" s="113"/>
      <c r="D98" s="113"/>
      <c r="E98" s="113"/>
      <c r="F98" s="113"/>
      <c r="G98" s="113"/>
      <c r="H98" s="113"/>
      <c r="I98" s="113"/>
      <c r="J98" s="113"/>
      <c r="K98" s="113"/>
      <c r="L98" s="113"/>
      <c r="M98" s="113"/>
      <c r="N98" s="113"/>
      <c r="O98" s="113"/>
      <c r="P98" s="114"/>
      <c r="Q98" s="65"/>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row>
    <row r="99" spans="1:42" x14ac:dyDescent="0.2">
      <c r="A99" s="65"/>
      <c r="B99" s="65"/>
      <c r="C99" s="65"/>
      <c r="D99" s="65"/>
      <c r="E99" s="65"/>
      <c r="F99" s="65"/>
      <c r="G99" s="65"/>
      <c r="H99" s="65"/>
      <c r="I99" s="65"/>
      <c r="J99" s="65"/>
      <c r="K99" s="65"/>
      <c r="L99" s="65"/>
      <c r="M99" s="65"/>
      <c r="N99" s="65"/>
      <c r="O99" s="65"/>
      <c r="P99" s="65"/>
      <c r="Q99" s="65"/>
      <c r="R99" s="81"/>
      <c r="S99" s="81"/>
      <c r="T99" s="81"/>
      <c r="U99" s="81"/>
      <c r="V99" s="81"/>
      <c r="W99" s="81"/>
      <c r="X99" s="81"/>
      <c r="Y99" s="81"/>
      <c r="Z99" s="81"/>
      <c r="AA99" s="81"/>
      <c r="AB99" s="81"/>
      <c r="AC99" s="81"/>
      <c r="AD99" s="81"/>
      <c r="AE99" s="81"/>
      <c r="AF99" s="81"/>
      <c r="AG99" s="81"/>
      <c r="AH99" s="81"/>
      <c r="AI99" s="81"/>
      <c r="AJ99" s="81"/>
      <c r="AK99" s="81"/>
      <c r="AL99" s="81"/>
      <c r="AM99" s="81"/>
      <c r="AN99" s="81"/>
      <c r="AO99" s="81"/>
      <c r="AP99" s="81"/>
    </row>
    <row r="100" spans="1:42" x14ac:dyDescent="0.2">
      <c r="A100" s="65"/>
      <c r="B100" s="122" t="str">
        <f>"AWS Service - estimated service usage and pricing - "&amp;Region_Name</f>
        <v>AWS Service - estimated service usage and pricing - Select Region</v>
      </c>
      <c r="C100" s="123"/>
      <c r="D100" s="123"/>
      <c r="E100" s="123"/>
      <c r="F100" s="123"/>
      <c r="G100" s="123"/>
      <c r="H100" s="123"/>
      <c r="I100" s="123"/>
      <c r="J100" s="123"/>
      <c r="K100" s="123"/>
      <c r="L100" s="123"/>
      <c r="M100" s="123"/>
      <c r="N100" s="123"/>
      <c r="O100" s="123"/>
      <c r="P100" s="123"/>
      <c r="Q100" s="65"/>
      <c r="R100" s="81"/>
      <c r="S100" s="81"/>
      <c r="T100" s="81"/>
      <c r="U100" s="81"/>
      <c r="V100" s="81"/>
      <c r="W100" s="81"/>
      <c r="X100" s="81"/>
      <c r="Y100" s="81"/>
      <c r="Z100" s="81"/>
      <c r="AA100" s="81"/>
      <c r="AB100" s="81"/>
      <c r="AC100" s="81"/>
      <c r="AD100" s="81"/>
      <c r="AE100" s="81"/>
      <c r="AF100" s="81"/>
      <c r="AG100" s="81"/>
      <c r="AH100" s="81"/>
      <c r="AI100" s="81"/>
      <c r="AJ100" s="81"/>
      <c r="AK100" s="81"/>
      <c r="AL100" s="81"/>
      <c r="AM100" s="81"/>
      <c r="AN100" s="81"/>
      <c r="AO100" s="81"/>
      <c r="AP100" s="81"/>
    </row>
    <row r="101" spans="1:42" x14ac:dyDescent="0.2">
      <c r="A101" s="65"/>
      <c r="B101" s="124" t="str">
        <f>IF(InputData=FALSE,"Please provide all input information requested above. The following information is missing:","")</f>
        <v>Please provide all input information requested above. The following information is missing:</v>
      </c>
      <c r="C101" s="65"/>
      <c r="D101" s="65"/>
      <c r="E101" s="65"/>
      <c r="F101" s="65"/>
      <c r="G101" s="65"/>
      <c r="H101" s="65"/>
      <c r="I101" s="65"/>
      <c r="J101" s="65"/>
      <c r="K101" s="65"/>
      <c r="L101" s="65"/>
      <c r="M101" s="65"/>
      <c r="N101" s="65"/>
      <c r="O101" s="65"/>
      <c r="P101" s="65"/>
      <c r="Q101" s="65"/>
      <c r="R101" s="81"/>
      <c r="S101" s="81"/>
      <c r="T101" s="81"/>
      <c r="U101" s="81"/>
      <c r="V101" s="81"/>
      <c r="W101" s="81"/>
      <c r="X101" s="81"/>
      <c r="Y101" s="81"/>
      <c r="Z101" s="81"/>
      <c r="AA101" s="81"/>
      <c r="AB101" s="81"/>
      <c r="AC101" s="81"/>
      <c r="AD101" s="81"/>
      <c r="AE101" s="81"/>
      <c r="AF101" s="81"/>
      <c r="AG101" s="81"/>
      <c r="AH101" s="81"/>
      <c r="AI101" s="81"/>
      <c r="AJ101" s="81"/>
      <c r="AK101" s="81"/>
      <c r="AL101" s="81"/>
      <c r="AM101" s="81"/>
      <c r="AN101" s="81"/>
      <c r="AO101" s="81"/>
      <c r="AP101" s="81"/>
    </row>
    <row r="102" spans="1:42" x14ac:dyDescent="0.2">
      <c r="A102" s="65"/>
      <c r="B102" s="131" t="str">
        <f>IF(InputData=FALSE,VLOOKUP(FALSE,Error_Message,2,FALSE),"")</f>
        <v>Select region for deployment</v>
      </c>
      <c r="C102" s="65"/>
      <c r="D102" s="65"/>
      <c r="E102" s="65"/>
      <c r="F102" s="65"/>
      <c r="G102" s="65"/>
      <c r="H102" s="65"/>
      <c r="I102" s="65"/>
      <c r="J102" s="65"/>
      <c r="K102" s="65"/>
      <c r="L102" s="65"/>
      <c r="M102" s="65"/>
      <c r="N102" s="65"/>
      <c r="O102" s="65"/>
      <c r="P102" s="65"/>
      <c r="Q102" s="65"/>
      <c r="R102" s="81"/>
      <c r="S102" s="81"/>
      <c r="T102" s="81"/>
      <c r="U102" s="81"/>
      <c r="V102" s="81"/>
      <c r="W102" s="81"/>
      <c r="X102" s="81"/>
      <c r="Y102" s="81"/>
      <c r="Z102" s="81"/>
      <c r="AA102" s="81"/>
      <c r="AB102" s="81"/>
      <c r="AC102" s="81"/>
      <c r="AD102" s="81"/>
      <c r="AE102" s="81"/>
      <c r="AF102" s="81"/>
      <c r="AG102" s="81"/>
      <c r="AH102" s="81"/>
      <c r="AI102" s="81"/>
      <c r="AJ102" s="81"/>
      <c r="AK102" s="81"/>
      <c r="AL102" s="81"/>
      <c r="AM102" s="81"/>
      <c r="AN102" s="81"/>
      <c r="AO102" s="81"/>
      <c r="AP102" s="81"/>
    </row>
    <row r="103" spans="1:42" ht="11.25" customHeight="1" x14ac:dyDescent="0.2">
      <c r="A103" s="65"/>
      <c r="B103" s="125"/>
      <c r="C103" s="65"/>
      <c r="D103" s="65"/>
      <c r="E103" s="65"/>
      <c r="F103" s="65"/>
      <c r="G103" s="65"/>
      <c r="H103" s="65"/>
      <c r="I103" s="65"/>
      <c r="J103" s="65"/>
      <c r="K103" s="65"/>
      <c r="L103" s="65"/>
      <c r="M103" s="65"/>
      <c r="N103" s="65"/>
      <c r="O103" s="65"/>
      <c r="P103" s="65"/>
      <c r="Q103" s="65"/>
      <c r="R103" s="81"/>
      <c r="S103" s="81"/>
      <c r="T103" s="81"/>
      <c r="U103" s="81"/>
      <c r="V103" s="81"/>
      <c r="W103" s="81"/>
      <c r="X103" s="81"/>
      <c r="Y103" s="81"/>
      <c r="Z103" s="81"/>
      <c r="AA103" s="81"/>
      <c r="AB103" s="81"/>
      <c r="AC103" s="81"/>
      <c r="AD103" s="81"/>
      <c r="AE103" s="81"/>
      <c r="AF103" s="81"/>
      <c r="AG103" s="81"/>
      <c r="AH103" s="81"/>
      <c r="AI103" s="81"/>
      <c r="AJ103" s="81"/>
      <c r="AK103" s="81"/>
      <c r="AL103" s="81"/>
      <c r="AM103" s="81"/>
      <c r="AN103" s="81"/>
      <c r="AO103" s="81"/>
      <c r="AP103" s="81"/>
    </row>
    <row r="104" spans="1:42" x14ac:dyDescent="0.2">
      <c r="A104" s="65"/>
      <c r="B104" s="70" t="s">
        <v>122</v>
      </c>
      <c r="C104" s="65"/>
      <c r="D104" s="65"/>
      <c r="E104" s="65"/>
      <c r="F104" s="65"/>
      <c r="G104" s="65"/>
      <c r="H104" s="65"/>
      <c r="I104" s="65"/>
      <c r="J104" s="65"/>
      <c r="K104" s="65"/>
      <c r="L104" s="65"/>
      <c r="M104" s="65"/>
      <c r="N104" s="69" t="s">
        <v>143</v>
      </c>
      <c r="O104" s="65"/>
      <c r="P104" s="65"/>
      <c r="Q104" s="65"/>
      <c r="R104" s="81"/>
      <c r="S104" s="81"/>
      <c r="T104" s="81"/>
      <c r="U104" s="81"/>
      <c r="V104" s="81"/>
      <c r="W104" s="81"/>
      <c r="X104" s="81"/>
      <c r="Y104" s="81"/>
      <c r="Z104" s="81"/>
      <c r="AA104" s="81"/>
      <c r="AB104" s="81"/>
      <c r="AC104" s="81"/>
      <c r="AD104" s="81"/>
      <c r="AE104" s="81"/>
      <c r="AF104" s="81"/>
      <c r="AG104" s="81"/>
      <c r="AH104" s="81"/>
      <c r="AI104" s="81"/>
      <c r="AJ104" s="81"/>
      <c r="AK104" s="81"/>
      <c r="AL104" s="81"/>
      <c r="AM104" s="81"/>
      <c r="AN104" s="81"/>
      <c r="AO104" s="81"/>
      <c r="AP104" s="81"/>
    </row>
    <row r="105" spans="1:42" x14ac:dyDescent="0.2">
      <c r="A105" s="65"/>
      <c r="B105" s="69" t="str">
        <f>IF(InputData=TRUE,EC2_Instance,"")</f>
        <v/>
      </c>
      <c r="C105" s="65"/>
      <c r="D105" s="69" t="str">
        <f>IF(InputData=TRUE,IF(EC2_Instance="No Match","The specified number of cameras with the given stream size exceeds the capacity of a single EC2 instance.","("&amp;EC2_Payment_Name&amp;")"),"")</f>
        <v/>
      </c>
      <c r="E105" s="65"/>
      <c r="F105" s="65"/>
      <c r="G105" s="65"/>
      <c r="H105" s="65"/>
      <c r="I105" s="65"/>
      <c r="J105" s="65"/>
      <c r="K105" s="65"/>
      <c r="L105" s="65"/>
      <c r="M105" s="65"/>
      <c r="N105" s="137" t="str">
        <f>IF(InputData=TRUE,IF(EC2_Instance="No Match","-",EC2_Price),"")</f>
        <v/>
      </c>
      <c r="O105" s="69" t="s">
        <v>127</v>
      </c>
      <c r="P105" s="65"/>
      <c r="Q105" s="65"/>
      <c r="R105" s="81"/>
      <c r="S105" s="81"/>
      <c r="T105" s="81"/>
      <c r="U105" s="81"/>
      <c r="V105" s="81"/>
      <c r="W105" s="81"/>
      <c r="X105" s="81"/>
      <c r="Y105" s="81"/>
      <c r="Z105" s="81"/>
      <c r="AA105" s="81"/>
      <c r="AB105" s="81"/>
      <c r="AC105" s="81"/>
      <c r="AD105" s="81"/>
      <c r="AE105" s="81"/>
      <c r="AF105" s="81"/>
      <c r="AG105" s="81"/>
      <c r="AH105" s="81"/>
      <c r="AI105" s="81"/>
      <c r="AJ105" s="81"/>
      <c r="AK105" s="81"/>
      <c r="AL105" s="81"/>
      <c r="AM105" s="81"/>
      <c r="AN105" s="81"/>
      <c r="AO105" s="81"/>
      <c r="AP105" s="81"/>
    </row>
    <row r="106" spans="1:42" x14ac:dyDescent="0.2">
      <c r="A106" s="65"/>
      <c r="B106" s="70"/>
      <c r="C106" s="65"/>
      <c r="D106" s="65"/>
      <c r="E106" s="65"/>
      <c r="F106" s="65"/>
      <c r="G106" s="65"/>
      <c r="H106" s="65"/>
      <c r="I106" s="65"/>
      <c r="J106" s="65"/>
      <c r="K106" s="65"/>
      <c r="L106" s="65"/>
      <c r="M106" s="65"/>
      <c r="N106" s="65"/>
      <c r="O106" s="65"/>
      <c r="P106" s="65"/>
      <c r="Q106" s="65"/>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row>
    <row r="107" spans="1:42" x14ac:dyDescent="0.2">
      <c r="A107" s="65"/>
      <c r="B107" s="70" t="s">
        <v>123</v>
      </c>
      <c r="C107" s="65"/>
      <c r="D107" s="65"/>
      <c r="E107" s="65"/>
      <c r="F107" s="65"/>
      <c r="G107" s="65"/>
      <c r="H107" s="65"/>
      <c r="I107" s="65"/>
      <c r="J107" s="65"/>
      <c r="K107" s="65"/>
      <c r="L107" s="65"/>
      <c r="M107" s="65"/>
      <c r="N107" s="65"/>
      <c r="O107" s="65"/>
      <c r="P107" s="65"/>
      <c r="Q107" s="65"/>
      <c r="R107" s="81"/>
      <c r="S107" s="81"/>
      <c r="T107" s="81"/>
      <c r="U107" s="81"/>
      <c r="V107" s="81"/>
      <c r="W107" s="81"/>
      <c r="X107" s="81"/>
      <c r="Y107" s="81"/>
      <c r="Z107" s="81"/>
      <c r="AA107" s="81"/>
      <c r="AB107" s="81"/>
      <c r="AC107" s="81"/>
      <c r="AD107" s="81"/>
      <c r="AE107" s="81"/>
      <c r="AF107" s="81"/>
      <c r="AG107" s="81"/>
      <c r="AH107" s="81"/>
      <c r="AI107" s="81"/>
      <c r="AJ107" s="81"/>
      <c r="AK107" s="81"/>
      <c r="AL107" s="81"/>
      <c r="AM107" s="81"/>
      <c r="AN107" s="81"/>
      <c r="AO107" s="81"/>
      <c r="AP107" s="81"/>
    </row>
    <row r="108" spans="1:42" x14ac:dyDescent="0.2">
      <c r="A108" s="65"/>
      <c r="B108" s="69" t="str">
        <f>IF(InputData=TRUE,150&amp; " GiB provisioned general purpose SSD (gp2) volume (default configuration)","")</f>
        <v/>
      </c>
      <c r="C108" s="65"/>
      <c r="D108" s="65"/>
      <c r="E108" s="65"/>
      <c r="F108" s="65"/>
      <c r="G108" s="65"/>
      <c r="H108" s="65"/>
      <c r="I108" s="65"/>
      <c r="J108" s="65"/>
      <c r="K108" s="65"/>
      <c r="L108" s="65"/>
      <c r="M108" s="65"/>
      <c r="N108" s="126" t="str">
        <f>IF(InputData=TRUE,EBS_ConfigDB_Price,"")</f>
        <v/>
      </c>
      <c r="O108" s="69" t="s">
        <v>127</v>
      </c>
      <c r="P108" s="65"/>
      <c r="Q108" s="65"/>
      <c r="R108" s="81"/>
      <c r="S108" s="81"/>
      <c r="T108" s="81"/>
      <c r="U108" s="81"/>
      <c r="V108" s="81"/>
      <c r="W108" s="81"/>
      <c r="X108" s="81"/>
      <c r="Y108" s="81"/>
      <c r="Z108" s="81"/>
      <c r="AA108" s="81"/>
      <c r="AB108" s="81"/>
      <c r="AC108" s="81"/>
      <c r="AD108" s="81"/>
      <c r="AE108" s="81"/>
      <c r="AF108" s="81"/>
      <c r="AG108" s="81"/>
      <c r="AH108" s="81"/>
      <c r="AI108" s="81"/>
      <c r="AJ108" s="81"/>
      <c r="AK108" s="81"/>
      <c r="AL108" s="81"/>
      <c r="AM108" s="81"/>
      <c r="AN108" s="81"/>
      <c r="AO108" s="81"/>
      <c r="AP108" s="81"/>
    </row>
    <row r="109" spans="1:42" x14ac:dyDescent="0.2">
      <c r="A109" s="65"/>
      <c r="B109" s="70"/>
      <c r="C109" s="65"/>
      <c r="D109" s="65"/>
      <c r="E109" s="65"/>
      <c r="F109" s="65"/>
      <c r="G109" s="65"/>
      <c r="H109" s="65"/>
      <c r="I109" s="65"/>
      <c r="J109" s="65"/>
      <c r="K109" s="65"/>
      <c r="L109" s="65"/>
      <c r="M109" s="65"/>
      <c r="N109" s="65"/>
      <c r="O109" s="65"/>
      <c r="P109" s="65"/>
      <c r="Q109" s="65"/>
      <c r="R109" s="81"/>
      <c r="S109" s="81"/>
      <c r="T109" s="81"/>
      <c r="U109" s="81"/>
      <c r="V109" s="81"/>
      <c r="W109" s="81"/>
      <c r="X109" s="81"/>
      <c r="Y109" s="81"/>
      <c r="Z109" s="81"/>
      <c r="AA109" s="81"/>
      <c r="AB109" s="81"/>
      <c r="AC109" s="81"/>
      <c r="AD109" s="81"/>
      <c r="AE109" s="81"/>
      <c r="AF109" s="81"/>
      <c r="AG109" s="81"/>
      <c r="AH109" s="81"/>
      <c r="AI109" s="81"/>
      <c r="AJ109" s="81"/>
      <c r="AK109" s="81"/>
      <c r="AL109" s="81"/>
      <c r="AM109" s="81"/>
      <c r="AN109" s="81"/>
      <c r="AO109" s="81"/>
      <c r="AP109" s="81"/>
    </row>
    <row r="110" spans="1:42" x14ac:dyDescent="0.2">
      <c r="A110" s="65"/>
      <c r="B110" s="70" t="s">
        <v>201</v>
      </c>
      <c r="C110" s="65"/>
      <c r="D110" s="65"/>
      <c r="E110" s="65"/>
      <c r="F110" s="65"/>
      <c r="G110" s="65"/>
      <c r="H110" s="65"/>
      <c r="I110" s="65"/>
      <c r="J110" s="65"/>
      <c r="K110" s="65"/>
      <c r="L110" s="65"/>
      <c r="M110" s="65"/>
      <c r="N110" s="65"/>
      <c r="O110" s="65"/>
      <c r="P110" s="65"/>
      <c r="Q110" s="65"/>
      <c r="R110" s="81"/>
      <c r="S110" s="81"/>
      <c r="T110" s="81"/>
      <c r="U110" s="81"/>
      <c r="V110" s="81"/>
      <c r="W110" s="81"/>
      <c r="X110" s="81"/>
      <c r="Y110" s="81"/>
      <c r="Z110" s="81"/>
      <c r="AA110" s="81"/>
      <c r="AB110" s="81"/>
      <c r="AC110" s="81"/>
      <c r="AD110" s="81"/>
      <c r="AE110" s="81"/>
      <c r="AF110" s="81"/>
      <c r="AG110" s="81"/>
      <c r="AH110" s="81"/>
      <c r="AI110" s="81"/>
      <c r="AJ110" s="81"/>
      <c r="AK110" s="81"/>
      <c r="AL110" s="81"/>
      <c r="AM110" s="81"/>
      <c r="AN110" s="81"/>
      <c r="AO110" s="81"/>
      <c r="AP110" s="81"/>
    </row>
    <row r="111" spans="1:42" x14ac:dyDescent="0.2">
      <c r="A111" s="65"/>
      <c r="B111" s="69" t="str">
        <f>IF(InputData=TRUE,Req_MediaDB&amp; " GiB provisioned general purpose SSD (gp2) volume","")</f>
        <v/>
      </c>
      <c r="C111" s="65"/>
      <c r="D111" s="65"/>
      <c r="E111" s="65"/>
      <c r="F111" s="65"/>
      <c r="G111" s="65"/>
      <c r="H111" s="65"/>
      <c r="I111" s="65"/>
      <c r="J111" s="65"/>
      <c r="K111" s="65"/>
      <c r="L111" s="65"/>
      <c r="M111" s="65"/>
      <c r="N111" s="126" t="str">
        <f>IF(InputData=TRUE,EBS_LiveDB_Price,"")</f>
        <v/>
      </c>
      <c r="O111" s="69" t="s">
        <v>127</v>
      </c>
      <c r="P111" s="65"/>
      <c r="Q111" s="65"/>
      <c r="R111" s="81"/>
      <c r="S111" s="81"/>
      <c r="T111" s="81"/>
      <c r="U111" s="81"/>
      <c r="V111" s="81"/>
      <c r="W111" s="81"/>
      <c r="X111" s="81"/>
      <c r="Y111" s="81"/>
      <c r="Z111" s="81"/>
      <c r="AA111" s="81"/>
      <c r="AB111" s="81"/>
      <c r="AC111" s="81"/>
      <c r="AD111" s="81"/>
      <c r="AE111" s="81"/>
      <c r="AF111" s="81"/>
      <c r="AG111" s="81"/>
      <c r="AH111" s="81"/>
      <c r="AI111" s="81"/>
      <c r="AJ111" s="81"/>
      <c r="AK111" s="81"/>
      <c r="AL111" s="81"/>
      <c r="AM111" s="81"/>
      <c r="AN111" s="81"/>
      <c r="AO111" s="81"/>
      <c r="AP111" s="81"/>
    </row>
    <row r="112" spans="1:42" x14ac:dyDescent="0.2">
      <c r="A112" s="65"/>
      <c r="B112" s="70"/>
      <c r="C112" s="65"/>
      <c r="D112" s="65"/>
      <c r="E112" s="65"/>
      <c r="F112" s="65"/>
      <c r="G112" s="65"/>
      <c r="H112" s="65"/>
      <c r="I112" s="65"/>
      <c r="J112" s="65"/>
      <c r="K112" s="65"/>
      <c r="L112" s="65"/>
      <c r="M112" s="65"/>
      <c r="N112" s="65"/>
      <c r="O112" s="65"/>
      <c r="P112" s="65"/>
      <c r="Q112" s="65"/>
      <c r="R112" s="81"/>
      <c r="S112" s="81"/>
      <c r="T112" s="81"/>
      <c r="U112" s="81"/>
      <c r="V112" s="81"/>
      <c r="W112" s="81"/>
      <c r="X112" s="81"/>
      <c r="Y112" s="81"/>
      <c r="Z112" s="81"/>
      <c r="AA112" s="81"/>
      <c r="AB112" s="81"/>
      <c r="AC112" s="81"/>
      <c r="AD112" s="81"/>
      <c r="AE112" s="81"/>
      <c r="AF112" s="81"/>
      <c r="AG112" s="81"/>
      <c r="AH112" s="81"/>
      <c r="AI112" s="81"/>
      <c r="AJ112" s="81"/>
      <c r="AK112" s="81"/>
      <c r="AL112" s="81"/>
      <c r="AM112" s="81"/>
      <c r="AN112" s="81"/>
      <c r="AO112" s="81"/>
      <c r="AP112" s="81"/>
    </row>
    <row r="113" spans="1:42" x14ac:dyDescent="0.2">
      <c r="A113" s="65"/>
      <c r="B113" s="70" t="s">
        <v>125</v>
      </c>
      <c r="C113" s="65"/>
      <c r="D113" s="65"/>
      <c r="E113" s="65"/>
      <c r="F113" s="65"/>
      <c r="G113" s="65"/>
      <c r="H113" s="65"/>
      <c r="I113" s="65"/>
      <c r="J113" s="65"/>
      <c r="K113" s="65"/>
      <c r="L113" s="65"/>
      <c r="M113" s="65"/>
      <c r="N113" s="65"/>
      <c r="O113" s="65"/>
      <c r="P113" s="65"/>
      <c r="Q113" s="65"/>
      <c r="R113" s="81"/>
      <c r="S113" s="81"/>
      <c r="T113" s="81"/>
      <c r="U113" s="81"/>
      <c r="V113" s="81"/>
      <c r="W113" s="81"/>
      <c r="X113" s="81"/>
      <c r="Y113" s="81"/>
      <c r="Z113" s="81"/>
      <c r="AA113" s="81"/>
      <c r="AB113" s="81"/>
      <c r="AC113" s="81"/>
      <c r="AD113" s="81"/>
      <c r="AE113" s="81"/>
      <c r="AF113" s="81"/>
      <c r="AG113" s="81"/>
      <c r="AH113" s="81"/>
      <c r="AI113" s="81"/>
      <c r="AJ113" s="81"/>
      <c r="AK113" s="81"/>
      <c r="AL113" s="81"/>
      <c r="AM113" s="81"/>
      <c r="AN113" s="81"/>
      <c r="AO113" s="81"/>
      <c r="AP113" s="81"/>
    </row>
    <row r="114" spans="1:42" x14ac:dyDescent="0.2">
      <c r="A114" s="65"/>
      <c r="B114" s="69" t="str">
        <f>IF(InputData=TRUE,Archive&amp;" TiB storage with "&amp;FSX_AZ,"")</f>
        <v/>
      </c>
      <c r="C114" s="69"/>
      <c r="D114" s="69"/>
      <c r="E114" s="65"/>
      <c r="F114" s="65"/>
      <c r="G114" s="65"/>
      <c r="H114" s="65"/>
      <c r="I114" s="65"/>
      <c r="J114" s="65"/>
      <c r="K114" s="65"/>
      <c r="L114" s="65"/>
      <c r="M114" s="65"/>
      <c r="N114" s="126" t="str">
        <f>IF(InputData=TRUE,FSX_Storage_Price,"")</f>
        <v/>
      </c>
      <c r="O114" s="69" t="s">
        <v>127</v>
      </c>
      <c r="P114" s="65"/>
      <c r="Q114" s="65"/>
      <c r="R114" s="81"/>
      <c r="S114" s="81"/>
      <c r="T114" s="81"/>
      <c r="U114" s="81"/>
      <c r="V114" s="81"/>
      <c r="W114" s="81"/>
      <c r="X114" s="81"/>
      <c r="Y114" s="81"/>
      <c r="Z114" s="81"/>
      <c r="AA114" s="81"/>
      <c r="AB114" s="81"/>
      <c r="AC114" s="81"/>
      <c r="AD114" s="81"/>
      <c r="AE114" s="81"/>
      <c r="AF114" s="81"/>
      <c r="AG114" s="81"/>
      <c r="AH114" s="81"/>
      <c r="AI114" s="81"/>
      <c r="AJ114" s="81"/>
      <c r="AK114" s="81"/>
      <c r="AL114" s="81"/>
      <c r="AM114" s="81"/>
      <c r="AN114" s="81"/>
      <c r="AO114" s="81"/>
      <c r="AP114" s="81"/>
    </row>
    <row r="115" spans="1:42" x14ac:dyDescent="0.2">
      <c r="A115" s="65"/>
      <c r="B115" s="69" t="str">
        <f>IF(InputData=TRUE,FSX_Thoughput_Allocation&amp;" MBps FSX troughput capacity","")</f>
        <v/>
      </c>
      <c r="C115" s="69"/>
      <c r="D115" s="69"/>
      <c r="E115" s="65"/>
      <c r="F115" s="65"/>
      <c r="G115" s="65"/>
      <c r="H115" s="65"/>
      <c r="I115" s="65"/>
      <c r="J115" s="65"/>
      <c r="K115" s="65"/>
      <c r="L115" s="65"/>
      <c r="M115" s="65"/>
      <c r="N115" s="126" t="str">
        <f>IF(InputData=TRUE,FSX_Throughput_Price,"")</f>
        <v/>
      </c>
      <c r="O115" s="69" t="s">
        <v>127</v>
      </c>
      <c r="P115" s="65"/>
      <c r="Q115" s="65"/>
      <c r="R115" s="81"/>
      <c r="S115" s="81"/>
      <c r="T115" s="81"/>
      <c r="U115" s="81"/>
      <c r="V115" s="81"/>
      <c r="W115" s="81"/>
      <c r="X115" s="81"/>
      <c r="Y115" s="81"/>
      <c r="Z115" s="81"/>
      <c r="AA115" s="81"/>
      <c r="AB115" s="81"/>
      <c r="AC115" s="81"/>
      <c r="AD115" s="81"/>
      <c r="AE115" s="81"/>
      <c r="AF115" s="81"/>
      <c r="AG115" s="81"/>
      <c r="AH115" s="81"/>
      <c r="AI115" s="81"/>
      <c r="AJ115" s="81"/>
      <c r="AK115" s="81"/>
      <c r="AL115" s="81"/>
      <c r="AM115" s="81"/>
      <c r="AN115" s="81"/>
      <c r="AO115" s="81"/>
      <c r="AP115" s="81"/>
    </row>
    <row r="116" spans="1:42" x14ac:dyDescent="0.2">
      <c r="A116" s="65"/>
      <c r="B116" s="70"/>
      <c r="C116" s="65"/>
      <c r="D116" s="65"/>
      <c r="E116" s="65"/>
      <c r="F116" s="65"/>
      <c r="G116" s="65"/>
      <c r="H116" s="65"/>
      <c r="I116" s="65"/>
      <c r="J116" s="65"/>
      <c r="K116" s="65"/>
      <c r="L116" s="65"/>
      <c r="M116" s="65"/>
      <c r="N116" s="65"/>
      <c r="O116" s="65"/>
      <c r="P116" s="65"/>
      <c r="Q116" s="65"/>
      <c r="R116" s="81"/>
      <c r="S116" s="81"/>
      <c r="T116" s="81"/>
      <c r="U116" s="81"/>
      <c r="V116" s="81"/>
      <c r="W116" s="81"/>
      <c r="X116" s="81"/>
      <c r="Y116" s="81"/>
      <c r="Z116" s="81"/>
      <c r="AA116" s="81"/>
      <c r="AB116" s="81"/>
      <c r="AC116" s="81"/>
      <c r="AD116" s="81"/>
      <c r="AE116" s="81"/>
      <c r="AF116" s="81"/>
      <c r="AG116" s="81"/>
      <c r="AH116" s="81"/>
      <c r="AI116" s="81"/>
      <c r="AJ116" s="81"/>
      <c r="AK116" s="81"/>
      <c r="AL116" s="81"/>
      <c r="AM116" s="81"/>
      <c r="AN116" s="81"/>
      <c r="AO116" s="81"/>
      <c r="AP116" s="81"/>
    </row>
    <row r="117" spans="1:42" x14ac:dyDescent="0.2">
      <c r="A117" s="65"/>
      <c r="B117" s="70" t="s">
        <v>149</v>
      </c>
      <c r="C117" s="65"/>
      <c r="D117" s="65"/>
      <c r="E117" s="65"/>
      <c r="F117" s="65"/>
      <c r="G117" s="65"/>
      <c r="H117" s="65"/>
      <c r="I117" s="65"/>
      <c r="J117" s="65"/>
      <c r="K117" s="65"/>
      <c r="L117" s="65"/>
      <c r="M117" s="65"/>
      <c r="N117" s="65"/>
      <c r="O117" s="65"/>
      <c r="P117" s="65"/>
      <c r="Q117" s="65"/>
      <c r="R117" s="81"/>
      <c r="S117" s="81"/>
      <c r="T117" s="81"/>
      <c r="U117" s="81"/>
      <c r="V117" s="81"/>
      <c r="W117" s="81"/>
      <c r="X117" s="81"/>
      <c r="Y117" s="81"/>
      <c r="Z117" s="81"/>
      <c r="AA117" s="81"/>
      <c r="AB117" s="81"/>
      <c r="AC117" s="81"/>
      <c r="AD117" s="81"/>
      <c r="AE117" s="81"/>
      <c r="AF117" s="81"/>
      <c r="AG117" s="81"/>
      <c r="AH117" s="81"/>
      <c r="AI117" s="81"/>
      <c r="AJ117" s="81"/>
      <c r="AK117" s="81"/>
      <c r="AL117" s="81"/>
      <c r="AM117" s="81"/>
      <c r="AN117" s="81"/>
      <c r="AO117" s="81"/>
      <c r="AP117" s="81"/>
    </row>
    <row r="118" spans="1:42" x14ac:dyDescent="0.2">
      <c r="A118" s="65"/>
      <c r="B118" s="69" t="str">
        <f>IF(InputData=TRUE,IF(VPN=TRUE,No_Sites&amp;" VPN site-to-site connection","Site-to-Site connectivity is not covered by this calulator (see above)"),"")</f>
        <v/>
      </c>
      <c r="C118" s="65"/>
      <c r="D118" s="65"/>
      <c r="E118" s="65"/>
      <c r="F118" s="65"/>
      <c r="G118" s="65"/>
      <c r="H118" s="65"/>
      <c r="I118" s="65"/>
      <c r="J118" s="65"/>
      <c r="K118" s="65"/>
      <c r="L118" s="65"/>
      <c r="M118" s="65"/>
      <c r="N118" s="126" t="str">
        <f>IF(InputData=TRUE,IF(VPN=TRUE,VPN_Price,""),"")</f>
        <v/>
      </c>
      <c r="O118" s="69" t="str">
        <f>IF(VPN=TRUE,"USD","")</f>
        <v>USD</v>
      </c>
      <c r="P118" s="65"/>
      <c r="Q118" s="65"/>
      <c r="R118" s="81"/>
      <c r="S118" s="81"/>
      <c r="T118" s="81"/>
      <c r="U118" s="81"/>
      <c r="V118" s="81"/>
      <c r="W118" s="81"/>
      <c r="X118" s="81"/>
      <c r="Y118" s="81"/>
      <c r="Z118" s="81"/>
      <c r="AA118" s="81"/>
      <c r="AB118" s="81"/>
      <c r="AC118" s="81"/>
      <c r="AD118" s="81"/>
      <c r="AE118" s="81"/>
      <c r="AF118" s="81"/>
      <c r="AG118" s="81"/>
      <c r="AH118" s="81"/>
      <c r="AI118" s="81"/>
      <c r="AJ118" s="81"/>
      <c r="AK118" s="81"/>
      <c r="AL118" s="81"/>
      <c r="AM118" s="81"/>
      <c r="AN118" s="81"/>
      <c r="AO118" s="81"/>
      <c r="AP118" s="81"/>
    </row>
    <row r="119" spans="1:42" x14ac:dyDescent="0.2">
      <c r="A119" s="65"/>
      <c r="B119" s="69"/>
      <c r="C119" s="65"/>
      <c r="D119" s="65"/>
      <c r="E119" s="65"/>
      <c r="F119" s="65"/>
      <c r="G119" s="65"/>
      <c r="H119" s="65"/>
      <c r="I119" s="65"/>
      <c r="J119" s="65"/>
      <c r="K119" s="65"/>
      <c r="L119" s="65"/>
      <c r="M119" s="65"/>
      <c r="N119" s="126"/>
      <c r="O119" s="69"/>
      <c r="P119" s="65"/>
      <c r="Q119" s="65"/>
      <c r="R119" s="81"/>
      <c r="S119" s="81"/>
      <c r="T119" s="81"/>
      <c r="U119" s="81"/>
      <c r="V119" s="81"/>
      <c r="W119" s="81"/>
      <c r="X119" s="81"/>
      <c r="Y119" s="81"/>
      <c r="Z119" s="81"/>
      <c r="AA119" s="81"/>
      <c r="AB119" s="81"/>
      <c r="AC119" s="81"/>
      <c r="AD119" s="81"/>
      <c r="AE119" s="81"/>
      <c r="AF119" s="81"/>
      <c r="AG119" s="81"/>
      <c r="AH119" s="81"/>
      <c r="AI119" s="81"/>
      <c r="AJ119" s="81"/>
      <c r="AK119" s="81"/>
      <c r="AL119" s="81"/>
      <c r="AM119" s="81"/>
      <c r="AN119" s="81"/>
      <c r="AO119" s="81"/>
      <c r="AP119" s="81"/>
    </row>
    <row r="120" spans="1:42" x14ac:dyDescent="0.2">
      <c r="A120" s="65"/>
      <c r="B120" s="70" t="s">
        <v>214</v>
      </c>
      <c r="C120" s="65"/>
      <c r="D120" s="65"/>
      <c r="E120" s="65"/>
      <c r="F120" s="65"/>
      <c r="G120" s="65"/>
      <c r="H120" s="65"/>
      <c r="I120" s="65"/>
      <c r="J120" s="65"/>
      <c r="K120" s="65"/>
      <c r="L120" s="65"/>
      <c r="M120" s="65"/>
      <c r="N120" s="65"/>
      <c r="O120" s="65"/>
      <c r="P120" s="65"/>
      <c r="Q120" s="65"/>
      <c r="R120" s="81"/>
      <c r="S120" s="81"/>
      <c r="T120" s="81"/>
      <c r="U120" s="81"/>
      <c r="V120" s="81"/>
      <c r="W120" s="81"/>
      <c r="X120" s="81"/>
      <c r="Y120" s="81"/>
      <c r="Z120" s="81"/>
      <c r="AA120" s="81"/>
      <c r="AB120" s="81"/>
      <c r="AC120" s="81"/>
      <c r="AD120" s="81"/>
      <c r="AE120" s="81"/>
      <c r="AF120" s="81"/>
      <c r="AG120" s="81"/>
      <c r="AH120" s="81"/>
      <c r="AI120" s="81"/>
      <c r="AJ120" s="81"/>
      <c r="AK120" s="81"/>
      <c r="AL120" s="81"/>
      <c r="AM120" s="81"/>
      <c r="AN120" s="81"/>
      <c r="AO120" s="81"/>
      <c r="AP120" s="81"/>
    </row>
    <row r="121" spans="1:42" x14ac:dyDescent="0.2">
      <c r="A121" s="65"/>
      <c r="B121" s="69" t="str">
        <f>IF(InputData=TRUE,IF(Client_Access=4,"No charge for data transfer out when running Smart Client in AppStream 2.0",Egress_per_Month&amp; " TB data out transfer for Smart Client usage per month"),"")</f>
        <v/>
      </c>
      <c r="C121" s="65"/>
      <c r="D121" s="65"/>
      <c r="E121" s="65"/>
      <c r="F121" s="65"/>
      <c r="G121" s="65"/>
      <c r="H121" s="65"/>
      <c r="I121" s="65"/>
      <c r="J121" s="65"/>
      <c r="K121" s="65"/>
      <c r="L121" s="65"/>
      <c r="M121" s="65"/>
      <c r="N121" s="126" t="str">
        <f>IF(InputData=TRUE,IF(Client_Access=4,"",Egress_Price),"")</f>
        <v/>
      </c>
      <c r="O121" s="69" t="str">
        <f>IF(Client_Access=4,"","USD")</f>
        <v>USD</v>
      </c>
      <c r="P121" s="65"/>
      <c r="Q121" s="65"/>
      <c r="R121" s="81"/>
      <c r="S121" s="81"/>
      <c r="T121" s="81"/>
      <c r="U121" s="81"/>
      <c r="V121" s="81"/>
      <c r="W121" s="81"/>
      <c r="X121" s="81"/>
      <c r="Y121" s="81"/>
      <c r="Z121" s="81"/>
      <c r="AA121" s="81"/>
      <c r="AB121" s="81"/>
      <c r="AC121" s="81"/>
      <c r="AD121" s="81"/>
      <c r="AE121" s="81"/>
      <c r="AF121" s="81"/>
      <c r="AG121" s="81"/>
      <c r="AH121" s="81"/>
      <c r="AI121" s="81"/>
      <c r="AJ121" s="81"/>
      <c r="AK121" s="81"/>
      <c r="AL121" s="81"/>
      <c r="AM121" s="81"/>
      <c r="AN121" s="81"/>
      <c r="AO121" s="81"/>
      <c r="AP121" s="81"/>
    </row>
    <row r="122" spans="1:42" x14ac:dyDescent="0.2">
      <c r="A122" s="65"/>
      <c r="B122" s="65"/>
      <c r="C122" s="65"/>
      <c r="D122" s="65"/>
      <c r="E122" s="65"/>
      <c r="F122" s="65"/>
      <c r="G122" s="65"/>
      <c r="H122" s="65"/>
      <c r="I122" s="65"/>
      <c r="J122" s="65"/>
      <c r="K122" s="65"/>
      <c r="L122" s="65"/>
      <c r="M122" s="65"/>
      <c r="N122" s="65"/>
      <c r="O122" s="65"/>
      <c r="P122" s="65"/>
      <c r="Q122" s="65"/>
      <c r="R122" s="81"/>
      <c r="S122" s="81"/>
      <c r="T122" s="81"/>
      <c r="U122" s="81"/>
      <c r="V122" s="81"/>
      <c r="W122" s="81"/>
      <c r="X122" s="81"/>
      <c r="Y122" s="81"/>
      <c r="Z122" s="81"/>
      <c r="AA122" s="81"/>
      <c r="AB122" s="81"/>
      <c r="AC122" s="81"/>
      <c r="AD122" s="81"/>
      <c r="AE122" s="81"/>
      <c r="AF122" s="81"/>
      <c r="AG122" s="81"/>
      <c r="AH122" s="81"/>
      <c r="AI122" s="81"/>
      <c r="AJ122" s="81"/>
      <c r="AK122" s="81"/>
      <c r="AL122" s="81"/>
      <c r="AM122" s="81"/>
      <c r="AN122" s="81"/>
      <c r="AO122" s="81"/>
      <c r="AP122" s="81"/>
    </row>
    <row r="123" spans="1:42" x14ac:dyDescent="0.2">
      <c r="A123" s="65"/>
      <c r="B123" s="70" t="s">
        <v>145</v>
      </c>
      <c r="C123" s="65"/>
      <c r="D123" s="65"/>
      <c r="E123" s="65"/>
      <c r="F123" s="65"/>
      <c r="G123" s="65"/>
      <c r="H123" s="65"/>
      <c r="I123" s="65"/>
      <c r="J123" s="65"/>
      <c r="K123" s="65"/>
      <c r="L123" s="65"/>
      <c r="M123" s="65"/>
      <c r="N123" s="65"/>
      <c r="O123" s="65"/>
      <c r="P123" s="65"/>
      <c r="Q123" s="65"/>
      <c r="R123" s="81"/>
      <c r="S123" s="81"/>
      <c r="T123" s="81"/>
      <c r="U123" s="81"/>
      <c r="V123" s="81"/>
      <c r="W123" s="81"/>
      <c r="X123" s="81"/>
      <c r="Y123" s="81"/>
      <c r="Z123" s="81"/>
      <c r="AA123" s="81"/>
      <c r="AB123" s="81"/>
      <c r="AC123" s="81"/>
      <c r="AD123" s="81"/>
      <c r="AE123" s="81"/>
      <c r="AF123" s="81"/>
      <c r="AG123" s="81"/>
      <c r="AH123" s="81"/>
      <c r="AI123" s="81"/>
      <c r="AJ123" s="81"/>
      <c r="AK123" s="81"/>
      <c r="AL123" s="81"/>
      <c r="AM123" s="81"/>
      <c r="AN123" s="81"/>
      <c r="AO123" s="81"/>
      <c r="AP123" s="81"/>
    </row>
    <row r="124" spans="1:42" x14ac:dyDescent="0.2">
      <c r="A124" s="65"/>
      <c r="B124" s="65" t="str">
        <f>IF(InputData=TRUE,IF(Client_Access=4,No_Operators&amp;" unique AppStream 2.0 users","AppStream 2.0 is not used"),"")</f>
        <v/>
      </c>
      <c r="C124" s="65"/>
      <c r="D124" s="65"/>
      <c r="E124" s="65"/>
      <c r="F124" s="65"/>
      <c r="G124" s="65"/>
      <c r="H124" s="65"/>
      <c r="I124" s="65"/>
      <c r="J124" s="65"/>
      <c r="K124" s="65"/>
      <c r="L124" s="65"/>
      <c r="M124" s="65"/>
      <c r="N124" s="126" t="str">
        <f>IF(InputData=TRUE,IF(Client_Access=4,AppStream_Users_Price,""),"")</f>
        <v/>
      </c>
      <c r="O124" s="69" t="str">
        <f>IF(Client_Access=4,"USD","")</f>
        <v/>
      </c>
      <c r="P124" s="65"/>
      <c r="Q124" s="65"/>
      <c r="R124" s="81"/>
      <c r="S124" s="81"/>
      <c r="T124" s="81"/>
      <c r="U124" s="81"/>
      <c r="V124" s="81"/>
      <c r="W124" s="81"/>
      <c r="X124" s="81"/>
      <c r="Y124" s="81"/>
      <c r="Z124" s="81"/>
      <c r="AA124" s="81"/>
      <c r="AB124" s="81"/>
      <c r="AC124" s="81"/>
      <c r="AD124" s="81"/>
      <c r="AE124" s="81"/>
      <c r="AF124" s="81"/>
      <c r="AG124" s="81"/>
      <c r="AH124" s="81"/>
      <c r="AI124" s="81"/>
      <c r="AJ124" s="81"/>
      <c r="AK124" s="81"/>
      <c r="AL124" s="81"/>
      <c r="AM124" s="81"/>
      <c r="AN124" s="81"/>
      <c r="AO124" s="81"/>
      <c r="AP124" s="81"/>
    </row>
    <row r="125" spans="1:42" x14ac:dyDescent="0.2">
      <c r="A125" s="65"/>
      <c r="B125" s="65" t="str">
        <f>IF(Client_Access=4,AppStream_Hours&amp;" hours of monthly streaming on "&amp;AppStream_Instance_Type,"")</f>
        <v/>
      </c>
      <c r="C125" s="65"/>
      <c r="D125" s="65"/>
      <c r="E125" s="65"/>
      <c r="F125" s="65"/>
      <c r="G125" s="65"/>
      <c r="H125" s="65"/>
      <c r="I125" s="65"/>
      <c r="J125" s="65"/>
      <c r="K125" s="65"/>
      <c r="L125" s="65"/>
      <c r="M125" s="65"/>
      <c r="N125" s="127" t="str">
        <f>IF(Client_Access=4,AppStream_Streaming_Price,"")</f>
        <v/>
      </c>
      <c r="O125" s="69" t="str">
        <f>IF(Client_Access=4,"USD","")</f>
        <v/>
      </c>
      <c r="P125" s="65"/>
      <c r="Q125" s="65"/>
      <c r="R125" s="81"/>
      <c r="S125" s="81"/>
      <c r="T125" s="81"/>
      <c r="U125" s="81"/>
      <c r="V125" s="81"/>
      <c r="W125" s="81"/>
      <c r="X125" s="81"/>
      <c r="Y125" s="81"/>
      <c r="Z125" s="81"/>
      <c r="AA125" s="81"/>
      <c r="AB125" s="81"/>
      <c r="AC125" s="81"/>
      <c r="AD125" s="81"/>
      <c r="AE125" s="81"/>
      <c r="AF125" s="81"/>
      <c r="AG125" s="81"/>
      <c r="AH125" s="81"/>
      <c r="AI125" s="81"/>
      <c r="AJ125" s="81"/>
      <c r="AK125" s="81"/>
      <c r="AL125" s="81"/>
      <c r="AM125" s="81"/>
      <c r="AN125" s="81"/>
      <c r="AO125" s="81"/>
      <c r="AP125" s="81"/>
    </row>
    <row r="126" spans="1:42" ht="5.25" customHeight="1" x14ac:dyDescent="0.2">
      <c r="A126" s="65"/>
      <c r="B126" s="123"/>
      <c r="C126" s="123"/>
      <c r="D126" s="123"/>
      <c r="E126" s="123"/>
      <c r="F126" s="123"/>
      <c r="G126" s="123"/>
      <c r="H126" s="123"/>
      <c r="I126" s="123"/>
      <c r="J126" s="123"/>
      <c r="K126" s="123"/>
      <c r="L126" s="123"/>
      <c r="M126" s="123"/>
      <c r="N126" s="123"/>
      <c r="O126" s="123"/>
      <c r="P126" s="123"/>
      <c r="Q126" s="65"/>
      <c r="R126" s="81"/>
      <c r="S126" s="81"/>
      <c r="T126" s="81"/>
      <c r="U126" s="81"/>
      <c r="V126" s="81"/>
      <c r="W126" s="81"/>
      <c r="X126" s="81"/>
      <c r="Y126" s="81"/>
      <c r="Z126" s="81"/>
      <c r="AA126" s="81"/>
      <c r="AB126" s="81"/>
      <c r="AC126" s="81"/>
      <c r="AD126" s="81"/>
      <c r="AE126" s="81"/>
      <c r="AF126" s="81"/>
      <c r="AG126" s="81"/>
      <c r="AH126" s="81"/>
      <c r="AI126" s="81"/>
      <c r="AJ126" s="81"/>
      <c r="AK126" s="81"/>
      <c r="AL126" s="81"/>
      <c r="AM126" s="81"/>
      <c r="AN126" s="81"/>
      <c r="AO126" s="81"/>
      <c r="AP126" s="81"/>
    </row>
    <row r="127" spans="1:42" ht="9.75" customHeight="1" x14ac:dyDescent="0.2">
      <c r="A127" s="65"/>
      <c r="B127" s="65"/>
      <c r="C127" s="65"/>
      <c r="D127" s="65"/>
      <c r="E127" s="65"/>
      <c r="F127" s="65"/>
      <c r="G127" s="65"/>
      <c r="H127" s="65"/>
      <c r="I127" s="65"/>
      <c r="J127" s="65"/>
      <c r="K127" s="65"/>
      <c r="L127" s="65"/>
      <c r="M127" s="65"/>
      <c r="N127" s="65"/>
      <c r="O127" s="65"/>
      <c r="P127" s="65"/>
      <c r="Q127" s="65"/>
      <c r="R127" s="81"/>
      <c r="S127" s="81"/>
      <c r="T127" s="81"/>
      <c r="U127" s="81"/>
      <c r="V127" s="81"/>
      <c r="W127" s="81"/>
      <c r="X127" s="81"/>
      <c r="Y127" s="81"/>
      <c r="Z127" s="81"/>
      <c r="AA127" s="81"/>
      <c r="AB127" s="81"/>
      <c r="AC127" s="81"/>
      <c r="AD127" s="81"/>
      <c r="AE127" s="81"/>
      <c r="AF127" s="81"/>
      <c r="AG127" s="81"/>
      <c r="AH127" s="81"/>
      <c r="AI127" s="81"/>
      <c r="AJ127" s="81"/>
      <c r="AK127" s="81"/>
      <c r="AL127" s="81"/>
      <c r="AM127" s="81"/>
      <c r="AN127" s="81"/>
      <c r="AO127" s="81"/>
      <c r="AP127" s="81"/>
    </row>
    <row r="128" spans="1:42" x14ac:dyDescent="0.2">
      <c r="A128" s="65"/>
      <c r="B128" s="128" t="s">
        <v>182</v>
      </c>
      <c r="C128" s="128"/>
      <c r="D128" s="128"/>
      <c r="E128" s="128"/>
      <c r="F128" s="128"/>
      <c r="G128" s="128"/>
      <c r="H128" s="128"/>
      <c r="I128" s="128"/>
      <c r="J128" s="128"/>
      <c r="K128" s="128"/>
      <c r="L128" s="128"/>
      <c r="M128" s="128"/>
      <c r="N128" s="129" t="str">
        <f>IF(InputData=TRUE,SUM(N105:N125),"")</f>
        <v/>
      </c>
      <c r="O128" s="70" t="s">
        <v>127</v>
      </c>
      <c r="P128" s="65"/>
      <c r="Q128" s="65"/>
      <c r="R128" s="81"/>
      <c r="S128" s="81"/>
      <c r="T128" s="81"/>
      <c r="U128" s="81"/>
      <c r="V128" s="81"/>
      <c r="W128" s="81"/>
      <c r="X128" s="81"/>
      <c r="Y128" s="81"/>
      <c r="Z128" s="81"/>
      <c r="AA128" s="81"/>
      <c r="AB128" s="81"/>
      <c r="AC128" s="81"/>
      <c r="AD128" s="81"/>
      <c r="AE128" s="81"/>
      <c r="AF128" s="81"/>
      <c r="AG128" s="81"/>
      <c r="AH128" s="81"/>
      <c r="AI128" s="81"/>
      <c r="AJ128" s="81"/>
      <c r="AK128" s="81"/>
      <c r="AL128" s="81"/>
      <c r="AM128" s="81"/>
      <c r="AN128" s="81"/>
      <c r="AO128" s="81"/>
      <c r="AP128" s="81"/>
    </row>
    <row r="129" spans="1:42" x14ac:dyDescent="0.2">
      <c r="A129" s="65"/>
      <c r="B129" s="128" t="s">
        <v>189</v>
      </c>
      <c r="C129" s="65"/>
      <c r="D129" s="65"/>
      <c r="E129" s="65"/>
      <c r="F129" s="65"/>
      <c r="G129" s="65"/>
      <c r="H129" s="65"/>
      <c r="I129" s="65"/>
      <c r="J129" s="65"/>
      <c r="K129" s="65"/>
      <c r="L129" s="65"/>
      <c r="M129" s="65"/>
      <c r="N129" s="129" t="str">
        <f>IF(InputData=TRUE,(N128*12),"")</f>
        <v/>
      </c>
      <c r="O129" s="70" t="s">
        <v>127</v>
      </c>
      <c r="P129" s="65"/>
      <c r="Q129" s="65"/>
      <c r="R129" s="81"/>
      <c r="S129" s="81"/>
      <c r="T129" s="81"/>
      <c r="U129" s="81"/>
      <c r="V129" s="81"/>
      <c r="W129" s="81"/>
      <c r="X129" s="81"/>
      <c r="Y129" s="81"/>
      <c r="Z129" s="81"/>
      <c r="AA129" s="81"/>
      <c r="AB129" s="81"/>
      <c r="AC129" s="81"/>
      <c r="AD129" s="81"/>
      <c r="AE129" s="81"/>
      <c r="AF129" s="81"/>
      <c r="AG129" s="81"/>
      <c r="AH129" s="81"/>
      <c r="AI129" s="81"/>
      <c r="AJ129" s="81"/>
      <c r="AK129" s="81"/>
      <c r="AL129" s="81"/>
      <c r="AM129" s="81"/>
      <c r="AN129" s="81"/>
      <c r="AO129" s="81"/>
      <c r="AP129" s="81"/>
    </row>
    <row r="130" spans="1:42" x14ac:dyDescent="0.2">
      <c r="A130" s="65"/>
      <c r="B130" s="128" t="s">
        <v>190</v>
      </c>
      <c r="C130" s="65"/>
      <c r="D130" s="65"/>
      <c r="E130" s="65"/>
      <c r="F130" s="65"/>
      <c r="G130" s="65"/>
      <c r="H130" s="65"/>
      <c r="I130" s="65"/>
      <c r="J130" s="65"/>
      <c r="K130" s="65"/>
      <c r="L130" s="65"/>
      <c r="M130" s="65"/>
      <c r="N130" s="129" t="str">
        <f>IF(InputData=TRUE,(N128/No_Cameras),"")</f>
        <v/>
      </c>
      <c r="O130" s="70" t="s">
        <v>127</v>
      </c>
      <c r="P130" s="65"/>
      <c r="Q130" s="65"/>
      <c r="R130" s="81"/>
      <c r="S130" s="81"/>
      <c r="T130" s="81"/>
      <c r="U130" s="81"/>
      <c r="V130" s="81"/>
      <c r="W130" s="81"/>
      <c r="X130" s="81"/>
      <c r="Y130" s="81"/>
      <c r="Z130" s="81"/>
      <c r="AA130" s="81"/>
      <c r="AB130" s="81"/>
      <c r="AC130" s="81"/>
      <c r="AD130" s="81"/>
      <c r="AE130" s="81"/>
      <c r="AF130" s="81"/>
      <c r="AG130" s="81"/>
      <c r="AH130" s="81"/>
      <c r="AI130" s="81"/>
      <c r="AJ130" s="81"/>
      <c r="AK130" s="81"/>
      <c r="AL130" s="81"/>
      <c r="AM130" s="81"/>
      <c r="AN130" s="81"/>
      <c r="AO130" s="81"/>
      <c r="AP130" s="81"/>
    </row>
    <row r="131" spans="1:42" x14ac:dyDescent="0.2">
      <c r="A131" s="65"/>
      <c r="B131" s="128" t="s">
        <v>191</v>
      </c>
      <c r="C131" s="65"/>
      <c r="D131" s="65"/>
      <c r="E131" s="65"/>
      <c r="F131" s="65"/>
      <c r="G131" s="65"/>
      <c r="H131" s="65"/>
      <c r="I131" s="65"/>
      <c r="J131" s="65"/>
      <c r="K131" s="65"/>
      <c r="L131" s="65"/>
      <c r="M131" s="65"/>
      <c r="N131" s="129" t="str">
        <f>IF(InputData=TRUE,(N129/No_Cameras),"")</f>
        <v/>
      </c>
      <c r="O131" s="70" t="s">
        <v>127</v>
      </c>
      <c r="P131" s="65"/>
      <c r="Q131" s="65"/>
      <c r="R131" s="81"/>
      <c r="S131" s="81"/>
      <c r="T131" s="81"/>
      <c r="U131" s="81"/>
      <c r="V131" s="81"/>
      <c r="W131" s="81"/>
      <c r="X131" s="81"/>
      <c r="Y131" s="81"/>
      <c r="Z131" s="81"/>
      <c r="AA131" s="81"/>
      <c r="AB131" s="81"/>
      <c r="AC131" s="81"/>
      <c r="AD131" s="81"/>
      <c r="AE131" s="81"/>
      <c r="AF131" s="81"/>
      <c r="AG131" s="81"/>
      <c r="AH131" s="81"/>
      <c r="AI131" s="81"/>
      <c r="AJ131" s="81"/>
      <c r="AK131" s="81"/>
      <c r="AL131" s="81"/>
      <c r="AM131" s="81"/>
      <c r="AN131" s="81"/>
      <c r="AO131" s="81"/>
      <c r="AP131" s="81"/>
    </row>
    <row r="132" spans="1:42" x14ac:dyDescent="0.2">
      <c r="A132" s="65"/>
      <c r="B132" s="128"/>
      <c r="C132" s="65"/>
      <c r="D132" s="65"/>
      <c r="E132" s="65"/>
      <c r="F132" s="65"/>
      <c r="G132" s="65"/>
      <c r="H132" s="65"/>
      <c r="I132" s="65"/>
      <c r="J132" s="65"/>
      <c r="K132" s="65"/>
      <c r="L132" s="65"/>
      <c r="M132" s="65"/>
      <c r="N132" s="65"/>
      <c r="O132" s="65"/>
      <c r="P132" s="65"/>
      <c r="Q132" s="65"/>
      <c r="R132" s="81"/>
      <c r="S132" s="81"/>
      <c r="T132" s="81"/>
      <c r="U132" s="81"/>
      <c r="V132" s="81"/>
      <c r="W132" s="81"/>
      <c r="X132" s="81"/>
      <c r="Y132" s="81"/>
      <c r="Z132" s="81"/>
      <c r="AA132" s="81"/>
      <c r="AB132" s="81"/>
      <c r="AC132" s="81"/>
      <c r="AD132" s="81"/>
      <c r="AE132" s="81"/>
      <c r="AF132" s="81"/>
      <c r="AG132" s="81"/>
      <c r="AH132" s="81"/>
      <c r="AI132" s="81"/>
      <c r="AJ132" s="81"/>
      <c r="AK132" s="81"/>
      <c r="AL132" s="81"/>
      <c r="AM132" s="81"/>
      <c r="AN132" s="81"/>
      <c r="AO132" s="81"/>
      <c r="AP132" s="81"/>
    </row>
    <row r="133" spans="1:42" x14ac:dyDescent="0.2">
      <c r="A133" s="65"/>
      <c r="B133" s="122" t="str">
        <f>"AWS Service - cost split"</f>
        <v>AWS Service - cost split</v>
      </c>
      <c r="C133" s="123"/>
      <c r="D133" s="123"/>
      <c r="E133" s="123"/>
      <c r="F133" s="123"/>
      <c r="G133" s="123"/>
      <c r="H133" s="123"/>
      <c r="I133" s="123"/>
      <c r="J133" s="123"/>
      <c r="K133" s="123"/>
      <c r="L133" s="123"/>
      <c r="M133" s="123"/>
      <c r="N133" s="123"/>
      <c r="O133" s="123"/>
      <c r="P133" s="123"/>
      <c r="Q133" s="65"/>
      <c r="R133" s="81"/>
      <c r="S133" s="81"/>
      <c r="T133" s="81"/>
      <c r="U133" s="81"/>
      <c r="V133" s="81"/>
      <c r="W133" s="81"/>
      <c r="X133" s="81"/>
      <c r="Y133" s="81"/>
      <c r="Z133" s="81"/>
      <c r="AA133" s="81"/>
      <c r="AB133" s="81"/>
      <c r="AC133" s="81"/>
      <c r="AD133" s="81"/>
      <c r="AE133" s="81"/>
      <c r="AF133" s="81"/>
      <c r="AG133" s="81"/>
      <c r="AH133" s="81"/>
      <c r="AI133" s="81"/>
      <c r="AJ133" s="81"/>
      <c r="AK133" s="81"/>
      <c r="AL133" s="81"/>
      <c r="AM133" s="81"/>
      <c r="AN133" s="81"/>
      <c r="AO133" s="81"/>
      <c r="AP133" s="81"/>
    </row>
    <row r="134" spans="1:42" x14ac:dyDescent="0.2">
      <c r="A134" s="65"/>
      <c r="B134" s="65"/>
      <c r="C134" s="65"/>
      <c r="D134" s="65"/>
      <c r="E134" s="65"/>
      <c r="F134" s="65"/>
      <c r="G134" s="65"/>
      <c r="H134" s="65"/>
      <c r="I134" s="65"/>
      <c r="J134" s="65"/>
      <c r="K134" s="65"/>
      <c r="L134" s="65"/>
      <c r="M134" s="65"/>
      <c r="N134" s="65"/>
      <c r="O134" s="65"/>
      <c r="P134" s="65"/>
      <c r="Q134" s="65"/>
      <c r="R134" s="81"/>
      <c r="S134" s="81"/>
      <c r="T134" s="81"/>
      <c r="U134" s="81"/>
      <c r="V134" s="81"/>
      <c r="W134" s="81"/>
      <c r="X134" s="81"/>
      <c r="Y134" s="81"/>
      <c r="Z134" s="81"/>
      <c r="AA134" s="81"/>
      <c r="AB134" s="81"/>
      <c r="AC134" s="81"/>
      <c r="AD134" s="81"/>
      <c r="AE134" s="81"/>
      <c r="AF134" s="81"/>
      <c r="AG134" s="81"/>
      <c r="AH134" s="81"/>
      <c r="AI134" s="81"/>
      <c r="AJ134" s="81"/>
      <c r="AK134" s="81"/>
      <c r="AL134" s="81"/>
      <c r="AM134" s="81"/>
      <c r="AN134" s="81"/>
      <c r="AO134" s="81"/>
      <c r="AP134" s="81"/>
    </row>
    <row r="135" spans="1:42" x14ac:dyDescent="0.2">
      <c r="A135" s="65"/>
      <c r="B135" s="65"/>
      <c r="C135" s="65"/>
      <c r="D135" s="65"/>
      <c r="E135" s="65"/>
      <c r="F135" s="65"/>
      <c r="G135" s="65"/>
      <c r="H135" s="65"/>
      <c r="I135" s="65"/>
      <c r="J135" s="65"/>
      <c r="K135" s="65"/>
      <c r="L135" s="65"/>
      <c r="M135" s="65"/>
      <c r="N135" s="65"/>
      <c r="O135" s="65"/>
      <c r="P135" s="65"/>
      <c r="Q135" s="65"/>
      <c r="R135" s="81"/>
      <c r="S135" s="81"/>
      <c r="T135" s="81"/>
      <c r="U135" s="81"/>
      <c r="V135" s="81"/>
      <c r="W135" s="81"/>
      <c r="X135" s="81"/>
      <c r="Y135" s="81"/>
      <c r="Z135" s="81"/>
      <c r="AA135" s="81"/>
      <c r="AB135" s="81"/>
      <c r="AC135" s="81"/>
      <c r="AD135" s="81"/>
      <c r="AE135" s="81"/>
      <c r="AF135" s="81"/>
      <c r="AG135" s="81"/>
      <c r="AH135" s="81"/>
      <c r="AI135" s="81"/>
      <c r="AJ135" s="81"/>
      <c r="AK135" s="81"/>
      <c r="AL135" s="81"/>
      <c r="AM135" s="81"/>
      <c r="AN135" s="81"/>
      <c r="AO135" s="81"/>
      <c r="AP135" s="81"/>
    </row>
    <row r="136" spans="1:42" x14ac:dyDescent="0.2">
      <c r="A136" s="65"/>
      <c r="B136" s="65"/>
      <c r="C136" s="65"/>
      <c r="D136" s="65"/>
      <c r="E136" s="65"/>
      <c r="F136" s="65"/>
      <c r="G136" s="65"/>
      <c r="H136" s="65"/>
      <c r="I136" s="65"/>
      <c r="J136" s="65"/>
      <c r="K136" s="65"/>
      <c r="L136" s="65"/>
      <c r="M136" s="65"/>
      <c r="N136" s="65"/>
      <c r="O136" s="65"/>
      <c r="P136" s="65"/>
      <c r="Q136" s="65"/>
      <c r="R136" s="81"/>
      <c r="S136" s="81"/>
      <c r="T136" s="81"/>
      <c r="U136" s="81"/>
      <c r="V136" s="81"/>
      <c r="W136" s="81"/>
      <c r="X136" s="81"/>
      <c r="Y136" s="81"/>
      <c r="Z136" s="81"/>
      <c r="AA136" s="81"/>
      <c r="AB136" s="81"/>
      <c r="AC136" s="81"/>
      <c r="AD136" s="81"/>
      <c r="AE136" s="81"/>
      <c r="AF136" s="81"/>
      <c r="AG136" s="81"/>
      <c r="AH136" s="81"/>
      <c r="AI136" s="81"/>
      <c r="AJ136" s="81"/>
      <c r="AK136" s="81"/>
      <c r="AL136" s="81"/>
      <c r="AM136" s="81"/>
      <c r="AN136" s="81"/>
      <c r="AO136" s="81"/>
      <c r="AP136" s="81"/>
    </row>
    <row r="137" spans="1:42" x14ac:dyDescent="0.2">
      <c r="A137" s="65"/>
      <c r="B137" s="65"/>
      <c r="C137" s="65"/>
      <c r="D137" s="65"/>
      <c r="E137" s="65"/>
      <c r="F137" s="65"/>
      <c r="G137" s="65"/>
      <c r="H137" s="65"/>
      <c r="I137" s="65"/>
      <c r="J137" s="65"/>
      <c r="K137" s="65"/>
      <c r="L137" s="65"/>
      <c r="M137" s="65"/>
      <c r="N137" s="65"/>
      <c r="O137" s="65"/>
      <c r="P137" s="65"/>
      <c r="Q137" s="65"/>
      <c r="R137" s="81"/>
      <c r="S137" s="81"/>
      <c r="T137" s="81"/>
      <c r="U137" s="81"/>
      <c r="V137" s="81"/>
      <c r="W137" s="81"/>
      <c r="X137" s="81"/>
      <c r="Y137" s="81"/>
      <c r="Z137" s="81"/>
      <c r="AA137" s="81"/>
      <c r="AB137" s="81"/>
      <c r="AC137" s="81"/>
      <c r="AD137" s="81"/>
      <c r="AE137" s="81"/>
      <c r="AF137" s="81"/>
      <c r="AG137" s="81"/>
      <c r="AH137" s="81"/>
      <c r="AI137" s="81"/>
      <c r="AJ137" s="81"/>
      <c r="AK137" s="81"/>
      <c r="AL137" s="81"/>
      <c r="AM137" s="81"/>
      <c r="AN137" s="81"/>
      <c r="AO137" s="81"/>
      <c r="AP137" s="81"/>
    </row>
    <row r="138" spans="1:42" x14ac:dyDescent="0.2">
      <c r="A138" s="65"/>
      <c r="B138" s="65"/>
      <c r="C138" s="65"/>
      <c r="D138" s="65"/>
      <c r="E138" s="65"/>
      <c r="F138" s="65"/>
      <c r="G138" s="65"/>
      <c r="H138" s="65"/>
      <c r="I138" s="65"/>
      <c r="J138" s="65"/>
      <c r="K138" s="65"/>
      <c r="L138" s="65"/>
      <c r="M138" s="65"/>
      <c r="N138" s="65"/>
      <c r="O138" s="65"/>
      <c r="P138" s="65"/>
      <c r="Q138" s="65"/>
      <c r="R138" s="81"/>
      <c r="S138" s="81"/>
      <c r="T138" s="81"/>
      <c r="U138" s="81"/>
      <c r="V138" s="81"/>
      <c r="W138" s="81"/>
      <c r="X138" s="81"/>
      <c r="Y138" s="81"/>
      <c r="Z138" s="81"/>
      <c r="AA138" s="81"/>
      <c r="AB138" s="81"/>
      <c r="AC138" s="81"/>
      <c r="AD138" s="81"/>
      <c r="AE138" s="81"/>
      <c r="AF138" s="81"/>
      <c r="AG138" s="81"/>
      <c r="AH138" s="81"/>
      <c r="AI138" s="81"/>
      <c r="AJ138" s="81"/>
      <c r="AK138" s="81"/>
      <c r="AL138" s="81"/>
      <c r="AM138" s="81"/>
      <c r="AN138" s="81"/>
      <c r="AO138" s="81"/>
      <c r="AP138" s="81"/>
    </row>
    <row r="139" spans="1:42" x14ac:dyDescent="0.2">
      <c r="A139" s="65"/>
      <c r="B139" s="65"/>
      <c r="C139" s="65"/>
      <c r="D139" s="65"/>
      <c r="E139" s="65"/>
      <c r="F139" s="65"/>
      <c r="G139" s="65"/>
      <c r="H139" s="65"/>
      <c r="I139" s="65"/>
      <c r="J139" s="65"/>
      <c r="K139" s="65"/>
      <c r="L139" s="65"/>
      <c r="M139" s="65"/>
      <c r="N139" s="65"/>
      <c r="O139" s="65"/>
      <c r="P139" s="65"/>
      <c r="Q139" s="65"/>
      <c r="R139" s="81"/>
      <c r="S139" s="81"/>
      <c r="T139" s="81"/>
      <c r="U139" s="81"/>
      <c r="V139" s="81"/>
      <c r="W139" s="81"/>
      <c r="X139" s="81"/>
      <c r="Y139" s="81"/>
      <c r="Z139" s="81"/>
      <c r="AA139" s="81"/>
      <c r="AB139" s="81"/>
      <c r="AC139" s="81"/>
      <c r="AD139" s="81"/>
      <c r="AE139" s="81"/>
      <c r="AF139" s="81"/>
      <c r="AG139" s="81"/>
      <c r="AH139" s="81"/>
      <c r="AI139" s="81"/>
      <c r="AJ139" s="81"/>
      <c r="AK139" s="81"/>
      <c r="AL139" s="81"/>
      <c r="AM139" s="81"/>
      <c r="AN139" s="81"/>
      <c r="AO139" s="81"/>
      <c r="AP139" s="81"/>
    </row>
    <row r="140" spans="1:42" x14ac:dyDescent="0.2">
      <c r="A140" s="65"/>
      <c r="B140" s="65"/>
      <c r="C140" s="65"/>
      <c r="D140" s="65"/>
      <c r="E140" s="65"/>
      <c r="F140" s="65"/>
      <c r="G140" s="65"/>
      <c r="H140" s="65"/>
      <c r="I140" s="65"/>
      <c r="J140" s="65"/>
      <c r="K140" s="65"/>
      <c r="L140" s="65"/>
      <c r="M140" s="65"/>
      <c r="N140" s="65"/>
      <c r="O140" s="65"/>
      <c r="P140" s="65"/>
      <c r="Q140" s="65"/>
      <c r="R140" s="81"/>
      <c r="S140" s="81"/>
      <c r="T140" s="81"/>
      <c r="U140" s="81"/>
      <c r="V140" s="81"/>
      <c r="W140" s="81"/>
      <c r="X140" s="81"/>
      <c r="Y140" s="81"/>
      <c r="Z140" s="81"/>
      <c r="AA140" s="81"/>
      <c r="AB140" s="81"/>
      <c r="AC140" s="81"/>
      <c r="AD140" s="81"/>
      <c r="AE140" s="81"/>
      <c r="AF140" s="81"/>
      <c r="AG140" s="81"/>
      <c r="AH140" s="81"/>
      <c r="AI140" s="81"/>
      <c r="AJ140" s="81"/>
      <c r="AK140" s="81"/>
      <c r="AL140" s="81"/>
      <c r="AM140" s="81"/>
      <c r="AN140" s="81"/>
      <c r="AO140" s="81"/>
      <c r="AP140" s="81"/>
    </row>
    <row r="141" spans="1:42" x14ac:dyDescent="0.2">
      <c r="A141" s="65"/>
      <c r="B141" s="65"/>
      <c r="C141" s="65"/>
      <c r="D141" s="65"/>
      <c r="E141" s="65"/>
      <c r="F141" s="65"/>
      <c r="G141" s="65"/>
      <c r="H141" s="65"/>
      <c r="I141" s="65"/>
      <c r="J141" s="65"/>
      <c r="K141" s="65"/>
      <c r="L141" s="65"/>
      <c r="M141" s="65"/>
      <c r="N141" s="65"/>
      <c r="O141" s="65"/>
      <c r="P141" s="65"/>
      <c r="Q141" s="65"/>
      <c r="R141" s="81"/>
      <c r="S141" s="81"/>
      <c r="T141" s="81"/>
      <c r="U141" s="81"/>
      <c r="V141" s="81"/>
      <c r="W141" s="81"/>
      <c r="X141" s="81"/>
      <c r="Y141" s="81"/>
      <c r="Z141" s="81"/>
      <c r="AA141" s="81"/>
      <c r="AB141" s="81"/>
      <c r="AC141" s="81"/>
      <c r="AD141" s="81"/>
      <c r="AE141" s="81"/>
      <c r="AF141" s="81"/>
      <c r="AG141" s="81"/>
      <c r="AH141" s="81"/>
      <c r="AI141" s="81"/>
      <c r="AJ141" s="81"/>
      <c r="AK141" s="81"/>
      <c r="AL141" s="81"/>
      <c r="AM141" s="81"/>
      <c r="AN141" s="81"/>
      <c r="AO141" s="81"/>
      <c r="AP141" s="81"/>
    </row>
    <row r="142" spans="1:42" x14ac:dyDescent="0.2">
      <c r="A142" s="65"/>
      <c r="B142" s="65"/>
      <c r="C142" s="65"/>
      <c r="D142" s="65"/>
      <c r="E142" s="65"/>
      <c r="F142" s="65"/>
      <c r="G142" s="65"/>
      <c r="H142" s="65"/>
      <c r="I142" s="65"/>
      <c r="J142" s="65"/>
      <c r="K142" s="65"/>
      <c r="L142" s="65"/>
      <c r="M142" s="65"/>
      <c r="N142" s="65"/>
      <c r="O142" s="65"/>
      <c r="P142" s="65"/>
      <c r="Q142" s="65"/>
      <c r="R142" s="81"/>
      <c r="S142" s="81"/>
      <c r="T142" s="81"/>
      <c r="U142" s="81"/>
      <c r="V142" s="81"/>
      <c r="W142" s="81"/>
      <c r="X142" s="81"/>
      <c r="Y142" s="81"/>
      <c r="Z142" s="81"/>
      <c r="AA142" s="81"/>
      <c r="AB142" s="81"/>
      <c r="AC142" s="81"/>
      <c r="AD142" s="81"/>
      <c r="AE142" s="81"/>
      <c r="AF142" s="81"/>
      <c r="AG142" s="81"/>
      <c r="AH142" s="81"/>
      <c r="AI142" s="81"/>
      <c r="AJ142" s="81"/>
      <c r="AK142" s="81"/>
      <c r="AL142" s="81"/>
      <c r="AM142" s="81"/>
      <c r="AN142" s="81"/>
      <c r="AO142" s="81"/>
      <c r="AP142" s="81"/>
    </row>
    <row r="143" spans="1:42" x14ac:dyDescent="0.2">
      <c r="A143" s="65"/>
      <c r="B143" s="65"/>
      <c r="C143" s="65"/>
      <c r="D143" s="65"/>
      <c r="E143" s="65"/>
      <c r="F143" s="65"/>
      <c r="G143" s="65"/>
      <c r="H143" s="65"/>
      <c r="I143" s="65"/>
      <c r="J143" s="65"/>
      <c r="K143" s="65"/>
      <c r="L143" s="65"/>
      <c r="M143" s="65"/>
      <c r="N143" s="65"/>
      <c r="O143" s="65"/>
      <c r="P143" s="65"/>
      <c r="Q143" s="65"/>
      <c r="R143" s="81"/>
      <c r="S143" s="81"/>
      <c r="T143" s="81"/>
      <c r="U143" s="81"/>
      <c r="V143" s="81"/>
      <c r="W143" s="81"/>
      <c r="X143" s="81"/>
      <c r="Y143" s="81"/>
      <c r="Z143" s="81"/>
      <c r="AA143" s="81"/>
      <c r="AB143" s="81"/>
      <c r="AC143" s="81"/>
      <c r="AD143" s="81"/>
      <c r="AE143" s="81"/>
      <c r="AF143" s="81"/>
      <c r="AG143" s="81"/>
      <c r="AH143" s="81"/>
      <c r="AI143" s="81"/>
      <c r="AJ143" s="81"/>
      <c r="AK143" s="81"/>
      <c r="AL143" s="81"/>
      <c r="AM143" s="81"/>
      <c r="AN143" s="81"/>
      <c r="AO143" s="81"/>
      <c r="AP143" s="81"/>
    </row>
    <row r="144" spans="1:42" x14ac:dyDescent="0.2">
      <c r="A144" s="65"/>
      <c r="B144" s="65"/>
      <c r="C144" s="65"/>
      <c r="D144" s="65"/>
      <c r="E144" s="65"/>
      <c r="F144" s="65"/>
      <c r="G144" s="65"/>
      <c r="H144" s="65"/>
      <c r="I144" s="65"/>
      <c r="J144" s="65"/>
      <c r="K144" s="65"/>
      <c r="L144" s="65"/>
      <c r="M144" s="65"/>
      <c r="N144" s="65"/>
      <c r="O144" s="65"/>
      <c r="P144" s="65"/>
      <c r="Q144" s="65"/>
      <c r="R144" s="81"/>
      <c r="S144" s="81"/>
      <c r="T144" s="81"/>
      <c r="U144" s="81"/>
      <c r="V144" s="81"/>
      <c r="W144" s="81"/>
      <c r="X144" s="81"/>
      <c r="Y144" s="81"/>
      <c r="Z144" s="81"/>
      <c r="AA144" s="81"/>
      <c r="AB144" s="81"/>
      <c r="AC144" s="81"/>
      <c r="AD144" s="81"/>
      <c r="AE144" s="81"/>
      <c r="AF144" s="81"/>
      <c r="AG144" s="81"/>
      <c r="AH144" s="81"/>
      <c r="AI144" s="81"/>
      <c r="AJ144" s="81"/>
      <c r="AK144" s="81"/>
      <c r="AL144" s="81"/>
      <c r="AM144" s="81"/>
      <c r="AN144" s="81"/>
      <c r="AO144" s="81"/>
      <c r="AP144" s="81"/>
    </row>
    <row r="145" spans="1:42" x14ac:dyDescent="0.2">
      <c r="A145" s="65"/>
      <c r="B145" s="65"/>
      <c r="C145" s="65"/>
      <c r="D145" s="65"/>
      <c r="E145" s="65"/>
      <c r="F145" s="65"/>
      <c r="G145" s="65"/>
      <c r="H145" s="65"/>
      <c r="I145" s="65"/>
      <c r="J145" s="65"/>
      <c r="K145" s="65"/>
      <c r="L145" s="65"/>
      <c r="M145" s="65"/>
      <c r="N145" s="65"/>
      <c r="O145" s="65"/>
      <c r="P145" s="65"/>
      <c r="Q145" s="65"/>
      <c r="R145" s="81"/>
      <c r="S145" s="81"/>
      <c r="T145" s="81"/>
      <c r="U145" s="81"/>
      <c r="V145" s="81"/>
      <c r="W145" s="81"/>
      <c r="X145" s="81"/>
      <c r="Y145" s="81"/>
      <c r="Z145" s="81"/>
      <c r="AA145" s="81"/>
      <c r="AB145" s="81"/>
      <c r="AC145" s="81"/>
      <c r="AD145" s="81"/>
      <c r="AE145" s="81"/>
      <c r="AF145" s="81"/>
      <c r="AG145" s="81"/>
      <c r="AH145" s="81"/>
      <c r="AI145" s="81"/>
      <c r="AJ145" s="81"/>
      <c r="AK145" s="81"/>
      <c r="AL145" s="81"/>
      <c r="AM145" s="81"/>
      <c r="AN145" s="81"/>
      <c r="AO145" s="81"/>
      <c r="AP145" s="81"/>
    </row>
    <row r="146" spans="1:42" x14ac:dyDescent="0.2">
      <c r="A146" s="65"/>
      <c r="B146" s="65"/>
      <c r="C146" s="65"/>
      <c r="D146" s="65"/>
      <c r="E146" s="65"/>
      <c r="F146" s="65"/>
      <c r="G146" s="65"/>
      <c r="H146" s="65"/>
      <c r="I146" s="65"/>
      <c r="J146" s="65"/>
      <c r="K146" s="65"/>
      <c r="L146" s="65"/>
      <c r="M146" s="65"/>
      <c r="N146" s="65"/>
      <c r="O146" s="65"/>
      <c r="P146" s="65"/>
      <c r="Q146" s="65"/>
      <c r="R146" s="81"/>
      <c r="S146" s="81"/>
      <c r="T146" s="81"/>
      <c r="U146" s="81"/>
      <c r="V146" s="81"/>
      <c r="W146" s="81"/>
      <c r="X146" s="81"/>
      <c r="Y146" s="81"/>
      <c r="Z146" s="81"/>
      <c r="AA146" s="81"/>
      <c r="AB146" s="81"/>
      <c r="AC146" s="81"/>
      <c r="AD146" s="81"/>
      <c r="AE146" s="81"/>
      <c r="AF146" s="81"/>
      <c r="AG146" s="81"/>
      <c r="AH146" s="81"/>
      <c r="AI146" s="81"/>
      <c r="AJ146" s="81"/>
      <c r="AK146" s="81"/>
      <c r="AL146" s="81"/>
      <c r="AM146" s="81"/>
      <c r="AN146" s="81"/>
      <c r="AO146" s="81"/>
      <c r="AP146" s="81"/>
    </row>
    <row r="147" spans="1:42" x14ac:dyDescent="0.2">
      <c r="A147" s="65"/>
      <c r="B147" s="65"/>
      <c r="C147" s="65"/>
      <c r="D147" s="65"/>
      <c r="E147" s="65"/>
      <c r="F147" s="65"/>
      <c r="G147" s="65"/>
      <c r="H147" s="65"/>
      <c r="I147" s="65"/>
      <c r="J147" s="65"/>
      <c r="K147" s="65"/>
      <c r="L147" s="65"/>
      <c r="M147" s="65"/>
      <c r="N147" s="65"/>
      <c r="O147" s="65"/>
      <c r="P147" s="65"/>
      <c r="Q147" s="65"/>
      <c r="R147" s="81"/>
      <c r="S147" s="81"/>
      <c r="T147" s="81"/>
      <c r="U147" s="81"/>
      <c r="V147" s="81"/>
      <c r="W147" s="81"/>
      <c r="X147" s="81"/>
      <c r="Y147" s="81"/>
      <c r="Z147" s="81"/>
      <c r="AA147" s="81"/>
      <c r="AB147" s="81"/>
      <c r="AC147" s="81"/>
      <c r="AD147" s="81"/>
      <c r="AE147" s="81"/>
      <c r="AF147" s="81"/>
      <c r="AG147" s="81"/>
      <c r="AH147" s="81"/>
      <c r="AI147" s="81"/>
      <c r="AJ147" s="81"/>
      <c r="AK147" s="81"/>
      <c r="AL147" s="81"/>
      <c r="AM147" s="81"/>
      <c r="AN147" s="81"/>
      <c r="AO147" s="81"/>
      <c r="AP147" s="81"/>
    </row>
    <row r="148" spans="1:42" x14ac:dyDescent="0.2">
      <c r="A148" s="65"/>
      <c r="B148" s="65"/>
      <c r="C148" s="65"/>
      <c r="D148" s="65"/>
      <c r="E148" s="65"/>
      <c r="F148" s="65"/>
      <c r="G148" s="65"/>
      <c r="H148" s="65"/>
      <c r="I148" s="65"/>
      <c r="J148" s="65"/>
      <c r="K148" s="65"/>
      <c r="L148" s="65"/>
      <c r="M148" s="65"/>
      <c r="N148" s="65"/>
      <c r="O148" s="65"/>
      <c r="P148" s="65"/>
      <c r="Q148" s="65"/>
      <c r="R148" s="81"/>
      <c r="S148" s="81"/>
      <c r="T148" s="81"/>
      <c r="U148" s="81"/>
      <c r="V148" s="81"/>
      <c r="W148" s="81"/>
      <c r="X148" s="81"/>
      <c r="Y148" s="81"/>
      <c r="Z148" s="81"/>
      <c r="AA148" s="81"/>
      <c r="AB148" s="81"/>
      <c r="AC148" s="81"/>
      <c r="AD148" s="81"/>
      <c r="AE148" s="81"/>
      <c r="AF148" s="81"/>
      <c r="AG148" s="81"/>
      <c r="AH148" s="81"/>
      <c r="AI148" s="81"/>
      <c r="AJ148" s="81"/>
      <c r="AK148" s="81"/>
      <c r="AL148" s="81"/>
      <c r="AM148" s="81"/>
      <c r="AN148" s="81"/>
      <c r="AO148" s="81"/>
      <c r="AP148" s="81"/>
    </row>
    <row r="149" spans="1:42" x14ac:dyDescent="0.2">
      <c r="A149" s="65"/>
      <c r="B149" s="65"/>
      <c r="C149" s="65"/>
      <c r="D149" s="65"/>
      <c r="E149" s="65"/>
      <c r="F149" s="65"/>
      <c r="G149" s="65"/>
      <c r="H149" s="65"/>
      <c r="I149" s="65"/>
      <c r="J149" s="65"/>
      <c r="K149" s="65"/>
      <c r="L149" s="65"/>
      <c r="M149" s="65"/>
      <c r="N149" s="65"/>
      <c r="O149" s="65"/>
      <c r="P149" s="65"/>
      <c r="Q149" s="65"/>
      <c r="R149" s="81"/>
      <c r="S149" s="81"/>
      <c r="T149" s="81"/>
      <c r="U149" s="81"/>
      <c r="V149" s="81"/>
      <c r="W149" s="81"/>
      <c r="X149" s="81"/>
      <c r="Y149" s="81"/>
      <c r="Z149" s="81"/>
      <c r="AA149" s="81"/>
      <c r="AB149" s="81"/>
      <c r="AC149" s="81"/>
      <c r="AD149" s="81"/>
      <c r="AE149" s="81"/>
      <c r="AF149" s="81"/>
      <c r="AG149" s="81"/>
      <c r="AH149" s="81"/>
      <c r="AI149" s="81"/>
      <c r="AJ149" s="81"/>
      <c r="AK149" s="81"/>
      <c r="AL149" s="81"/>
      <c r="AM149" s="81"/>
      <c r="AN149" s="81"/>
      <c r="AO149" s="81"/>
      <c r="AP149" s="81"/>
    </row>
    <row r="150" spans="1:42" x14ac:dyDescent="0.2">
      <c r="A150" s="65"/>
      <c r="B150" s="65"/>
      <c r="C150" s="65"/>
      <c r="D150" s="65"/>
      <c r="E150" s="65"/>
      <c r="F150" s="65"/>
      <c r="G150" s="65"/>
      <c r="H150" s="65"/>
      <c r="I150" s="65"/>
      <c r="J150" s="65"/>
      <c r="K150" s="65"/>
      <c r="L150" s="65"/>
      <c r="M150" s="65"/>
      <c r="N150" s="65"/>
      <c r="O150" s="65"/>
      <c r="P150" s="65"/>
      <c r="Q150" s="65"/>
      <c r="R150" s="81"/>
      <c r="S150" s="81"/>
      <c r="T150" s="81"/>
      <c r="U150" s="81"/>
      <c r="V150" s="81"/>
      <c r="W150" s="81"/>
      <c r="X150" s="81"/>
      <c r="Y150" s="81"/>
      <c r="Z150" s="81"/>
      <c r="AA150" s="81"/>
      <c r="AB150" s="81"/>
      <c r="AC150" s="81"/>
      <c r="AD150" s="81"/>
      <c r="AE150" s="81"/>
      <c r="AF150" s="81"/>
      <c r="AG150" s="81"/>
      <c r="AH150" s="81"/>
      <c r="AI150" s="81"/>
      <c r="AJ150" s="81"/>
      <c r="AK150" s="81"/>
      <c r="AL150" s="81"/>
      <c r="AM150" s="81"/>
      <c r="AN150" s="81"/>
      <c r="AO150" s="81"/>
      <c r="AP150" s="81"/>
    </row>
    <row r="151" spans="1:42" ht="10.5" customHeight="1" x14ac:dyDescent="0.2">
      <c r="A151" s="65"/>
      <c r="B151" s="242" t="s">
        <v>249</v>
      </c>
      <c r="C151" s="242"/>
      <c r="D151" s="242"/>
      <c r="E151" s="242"/>
      <c r="F151" s="242"/>
      <c r="G151" s="242"/>
      <c r="H151" s="242"/>
      <c r="I151" s="242"/>
      <c r="J151" s="242"/>
      <c r="K151" s="242"/>
      <c r="L151" s="242"/>
      <c r="M151" s="242"/>
      <c r="N151" s="242"/>
      <c r="O151" s="242"/>
      <c r="P151" s="242"/>
      <c r="Q151" s="65"/>
      <c r="R151" s="81"/>
      <c r="S151" s="81"/>
      <c r="T151" s="81"/>
      <c r="U151" s="81"/>
      <c r="V151" s="81"/>
      <c r="W151" s="81"/>
      <c r="X151" s="81"/>
      <c r="Y151" s="81"/>
      <c r="Z151" s="81"/>
      <c r="AA151" s="81"/>
      <c r="AB151" s="81"/>
      <c r="AC151" s="81"/>
      <c r="AD151" s="81"/>
      <c r="AE151" s="81"/>
      <c r="AF151" s="81"/>
      <c r="AG151" s="81"/>
      <c r="AH151" s="81"/>
      <c r="AI151" s="81"/>
      <c r="AJ151" s="81"/>
      <c r="AK151" s="81"/>
      <c r="AL151" s="81"/>
      <c r="AM151" s="81"/>
      <c r="AN151" s="81"/>
      <c r="AO151" s="81"/>
      <c r="AP151" s="81"/>
    </row>
    <row r="152" spans="1:42" ht="10.5" customHeight="1" x14ac:dyDescent="0.2">
      <c r="A152" s="65"/>
      <c r="B152" s="242"/>
      <c r="C152" s="242"/>
      <c r="D152" s="242"/>
      <c r="E152" s="242"/>
      <c r="F152" s="242"/>
      <c r="G152" s="242"/>
      <c r="H152" s="242"/>
      <c r="I152" s="242"/>
      <c r="J152" s="242"/>
      <c r="K152" s="242"/>
      <c r="L152" s="242"/>
      <c r="M152" s="242"/>
      <c r="N152" s="242"/>
      <c r="O152" s="242"/>
      <c r="P152" s="242"/>
      <c r="Q152" s="65"/>
      <c r="R152" s="81"/>
      <c r="S152" s="81"/>
      <c r="T152" s="81"/>
      <c r="U152" s="81"/>
      <c r="V152" s="81"/>
      <c r="W152" s="81"/>
      <c r="X152" s="81"/>
      <c r="Y152" s="81"/>
      <c r="Z152" s="81"/>
      <c r="AA152" s="81"/>
      <c r="AB152" s="81"/>
      <c r="AC152" s="81"/>
      <c r="AD152" s="81"/>
      <c r="AE152" s="81"/>
      <c r="AF152" s="81"/>
      <c r="AG152" s="81"/>
      <c r="AH152" s="81"/>
      <c r="AI152" s="81"/>
      <c r="AJ152" s="81"/>
      <c r="AK152" s="81"/>
      <c r="AL152" s="81"/>
      <c r="AM152" s="81"/>
      <c r="AN152" s="81"/>
      <c r="AO152" s="81"/>
      <c r="AP152" s="81"/>
    </row>
    <row r="153" spans="1:42" x14ac:dyDescent="0.2">
      <c r="A153" s="65"/>
      <c r="B153" s="242"/>
      <c r="C153" s="242"/>
      <c r="D153" s="242"/>
      <c r="E153" s="242"/>
      <c r="F153" s="242"/>
      <c r="G153" s="242"/>
      <c r="H153" s="242"/>
      <c r="I153" s="242"/>
      <c r="J153" s="242"/>
      <c r="K153" s="242"/>
      <c r="L153" s="242"/>
      <c r="M153" s="242"/>
      <c r="N153" s="242"/>
      <c r="O153" s="242"/>
      <c r="P153" s="242"/>
      <c r="Q153" s="65"/>
      <c r="R153" s="81"/>
      <c r="S153" s="81"/>
      <c r="T153" s="81"/>
      <c r="U153" s="81"/>
      <c r="V153" s="81"/>
      <c r="W153" s="81"/>
      <c r="X153" s="81"/>
      <c r="Y153" s="81"/>
      <c r="Z153" s="81"/>
      <c r="AA153" s="81"/>
      <c r="AB153" s="81"/>
      <c r="AC153" s="81"/>
      <c r="AD153" s="81"/>
      <c r="AE153" s="81"/>
      <c r="AF153" s="81"/>
      <c r="AG153" s="81"/>
      <c r="AH153" s="81"/>
      <c r="AI153" s="81"/>
      <c r="AJ153" s="81"/>
      <c r="AK153" s="81"/>
      <c r="AL153" s="81"/>
      <c r="AM153" s="81"/>
      <c r="AN153" s="81"/>
      <c r="AO153" s="81"/>
      <c r="AP153" s="81"/>
    </row>
    <row r="154" spans="1:42" ht="10.5" customHeight="1" x14ac:dyDescent="0.2">
      <c r="A154" s="65"/>
      <c r="B154" s="130" t="s">
        <v>216</v>
      </c>
      <c r="C154" s="65"/>
      <c r="D154" s="65"/>
      <c r="E154" s="65"/>
      <c r="F154" s="65"/>
      <c r="G154" s="65"/>
      <c r="H154" s="65"/>
      <c r="I154" s="65"/>
      <c r="J154" s="65"/>
      <c r="K154" s="65"/>
      <c r="L154" s="65"/>
      <c r="M154" s="65"/>
      <c r="N154" s="65"/>
      <c r="O154" s="65"/>
      <c r="P154" s="65"/>
      <c r="Q154" s="65"/>
      <c r="R154" s="81"/>
      <c r="S154" s="81"/>
      <c r="T154" s="81"/>
      <c r="U154" s="81"/>
      <c r="V154" s="81"/>
      <c r="W154" s="81"/>
      <c r="X154" s="81"/>
      <c r="Y154" s="81"/>
      <c r="Z154" s="81"/>
      <c r="AA154" s="81"/>
      <c r="AB154" s="81"/>
      <c r="AC154" s="81"/>
      <c r="AD154" s="81"/>
      <c r="AE154" s="81"/>
      <c r="AF154" s="81"/>
      <c r="AG154" s="81"/>
      <c r="AH154" s="81"/>
      <c r="AI154" s="81"/>
      <c r="AJ154" s="81"/>
      <c r="AK154" s="81"/>
      <c r="AL154" s="81"/>
      <c r="AM154" s="81"/>
      <c r="AN154" s="81"/>
      <c r="AO154" s="81"/>
      <c r="AP154" s="81"/>
    </row>
    <row r="155" spans="1:42" x14ac:dyDescent="0.2">
      <c r="A155" s="65"/>
      <c r="B155" s="65"/>
      <c r="C155" s="65"/>
      <c r="D155" s="65"/>
      <c r="E155" s="65"/>
      <c r="F155" s="65"/>
      <c r="G155" s="65"/>
      <c r="H155" s="65"/>
      <c r="I155" s="65"/>
      <c r="J155" s="65"/>
      <c r="K155" s="65"/>
      <c r="L155" s="65"/>
      <c r="M155" s="65"/>
      <c r="N155" s="65"/>
      <c r="O155" s="65"/>
      <c r="P155" s="65"/>
      <c r="Q155" s="65"/>
      <c r="R155" s="81"/>
      <c r="S155" s="81"/>
      <c r="T155" s="81"/>
      <c r="U155" s="81"/>
      <c r="V155" s="81"/>
      <c r="W155" s="81"/>
      <c r="X155" s="81"/>
      <c r="Y155" s="81"/>
      <c r="Z155" s="81"/>
      <c r="AA155" s="81"/>
      <c r="AB155" s="81"/>
      <c r="AC155" s="81"/>
      <c r="AD155" s="81"/>
      <c r="AE155" s="81"/>
      <c r="AF155" s="81"/>
      <c r="AG155" s="81"/>
      <c r="AH155" s="81"/>
      <c r="AI155" s="81"/>
      <c r="AJ155" s="81"/>
      <c r="AK155" s="81"/>
      <c r="AL155" s="81"/>
      <c r="AM155" s="81"/>
      <c r="AN155" s="81"/>
      <c r="AO155" s="81"/>
      <c r="AP155" s="81"/>
    </row>
  </sheetData>
  <sheetProtection algorithmName="SHA-512" hashValue="9W2JyYQvCSnJ0D0ZlKTf1SoyUNHt1Zj1/cYj0+bJ5e2SvZ+wZefy0JXHqFrPzL2LwZnhmeCIMYTChCb7IuaxfQ==" saltValue="KLdHVh3TymEdFcb2Gi0pxg==" spinCount="100000" sheet="1" objects="1" scenarios="1"/>
  <mergeCells count="20">
    <mergeCell ref="C10:H10"/>
    <mergeCell ref="C14:H14"/>
    <mergeCell ref="J34:O34"/>
    <mergeCell ref="C80:H80"/>
    <mergeCell ref="C71:O71"/>
    <mergeCell ref="C60:H60"/>
    <mergeCell ref="J60:O60"/>
    <mergeCell ref="C22:H22"/>
    <mergeCell ref="C26:H26"/>
    <mergeCell ref="C68:H68"/>
    <mergeCell ref="C30:H30"/>
    <mergeCell ref="C72:H72"/>
    <mergeCell ref="C76:H76"/>
    <mergeCell ref="C34:H34"/>
    <mergeCell ref="K22:O23"/>
    <mergeCell ref="B151:P153"/>
    <mergeCell ref="C53:H53"/>
    <mergeCell ref="C56:H56"/>
    <mergeCell ref="C88:H88"/>
    <mergeCell ref="C96:O97"/>
  </mergeCells>
  <pageMargins left="0.7" right="0.7" top="0.75" bottom="0.75" header="0.3" footer="0.3"/>
  <pageSetup paperSize="9" scale="24" orientation="portrait" verticalDpi="0" r:id="rId1"/>
  <headerFooter>
    <oddFooter>&amp;C&amp;1#&amp;"Calibri"&amp;8&amp;K000000Sensitivity: Internal (R3)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Drop Down 1">
              <controlPr defaultSize="0" autoLine="0" autoPict="0">
                <anchor moveWithCells="1">
                  <from>
                    <xdr:col>9</xdr:col>
                    <xdr:colOff>0</xdr:colOff>
                    <xdr:row>32</xdr:row>
                    <xdr:rowOff>177800</xdr:rowOff>
                  </from>
                  <to>
                    <xdr:col>14</xdr:col>
                    <xdr:colOff>368300</xdr:colOff>
                    <xdr:row>34</xdr:row>
                    <xdr:rowOff>12700</xdr:rowOff>
                  </to>
                </anchor>
              </controlPr>
            </control>
          </mc:Choice>
        </mc:AlternateContent>
        <mc:AlternateContent xmlns:mc="http://schemas.openxmlformats.org/markup-compatibility/2006">
          <mc:Choice Requires="x14">
            <control shapeId="8195" r:id="rId5" name="Drop Down 3">
              <controlPr defaultSize="0" autoLine="0" autoPict="0">
                <anchor moveWithCells="1">
                  <from>
                    <xdr:col>2</xdr:col>
                    <xdr:colOff>0</xdr:colOff>
                    <xdr:row>75</xdr:row>
                    <xdr:rowOff>0</xdr:rowOff>
                  </from>
                  <to>
                    <xdr:col>7</xdr:col>
                    <xdr:colOff>596900</xdr:colOff>
                    <xdr:row>75</xdr:row>
                    <xdr:rowOff>177800</xdr:rowOff>
                  </to>
                </anchor>
              </controlPr>
            </control>
          </mc:Choice>
        </mc:AlternateContent>
        <mc:AlternateContent xmlns:mc="http://schemas.openxmlformats.org/markup-compatibility/2006">
          <mc:Choice Requires="x14">
            <control shapeId="8196" r:id="rId6" name="Drop Down 4">
              <controlPr defaultSize="0" autoLine="0" autoPict="0">
                <anchor moveWithCells="1">
                  <from>
                    <xdr:col>2</xdr:col>
                    <xdr:colOff>0</xdr:colOff>
                    <xdr:row>79</xdr:row>
                    <xdr:rowOff>0</xdr:rowOff>
                  </from>
                  <to>
                    <xdr:col>8</xdr:col>
                    <xdr:colOff>0</xdr:colOff>
                    <xdr:row>79</xdr:row>
                    <xdr:rowOff>177800</xdr:rowOff>
                  </to>
                </anchor>
              </controlPr>
            </control>
          </mc:Choice>
        </mc:AlternateContent>
        <mc:AlternateContent xmlns:mc="http://schemas.openxmlformats.org/markup-compatibility/2006">
          <mc:Choice Requires="x14">
            <control shapeId="8197" r:id="rId7" name="Drop Down 5">
              <controlPr defaultSize="0" autoLine="0" autoPict="0">
                <anchor moveWithCells="1">
                  <from>
                    <xdr:col>2</xdr:col>
                    <xdr:colOff>0</xdr:colOff>
                    <xdr:row>28</xdr:row>
                    <xdr:rowOff>177800</xdr:rowOff>
                  </from>
                  <to>
                    <xdr:col>8</xdr:col>
                    <xdr:colOff>0</xdr:colOff>
                    <xdr:row>30</xdr:row>
                    <xdr:rowOff>12700</xdr:rowOff>
                  </to>
                </anchor>
              </controlPr>
            </control>
          </mc:Choice>
        </mc:AlternateContent>
        <mc:AlternateContent xmlns:mc="http://schemas.openxmlformats.org/markup-compatibility/2006">
          <mc:Choice Requires="x14">
            <control shapeId="8198" r:id="rId8" name="Drop Down 6">
              <controlPr defaultSize="0" autoLine="0" autoPict="0">
                <anchor moveWithCells="1">
                  <from>
                    <xdr:col>1</xdr:col>
                    <xdr:colOff>241300</xdr:colOff>
                    <xdr:row>59</xdr:row>
                    <xdr:rowOff>25400</xdr:rowOff>
                  </from>
                  <to>
                    <xdr:col>7</xdr:col>
                    <xdr:colOff>596900</xdr:colOff>
                    <xdr:row>60</xdr:row>
                    <xdr:rowOff>38100</xdr:rowOff>
                  </to>
                </anchor>
              </controlPr>
            </control>
          </mc:Choice>
        </mc:AlternateContent>
        <mc:AlternateContent xmlns:mc="http://schemas.openxmlformats.org/markup-compatibility/2006">
          <mc:Choice Requires="x14">
            <control shapeId="8199" r:id="rId9" name="Drop Down 7">
              <controlPr defaultSize="0" autoLine="0" autoPict="0">
                <anchor moveWithCells="1">
                  <from>
                    <xdr:col>2</xdr:col>
                    <xdr:colOff>12700</xdr:colOff>
                    <xdr:row>8</xdr:row>
                    <xdr:rowOff>177800</xdr:rowOff>
                  </from>
                  <to>
                    <xdr:col>8</xdr:col>
                    <xdr:colOff>25400</xdr:colOff>
                    <xdr:row>10</xdr:row>
                    <xdr:rowOff>12700</xdr:rowOff>
                  </to>
                </anchor>
              </controlPr>
            </control>
          </mc:Choice>
        </mc:AlternateContent>
        <mc:AlternateContent xmlns:mc="http://schemas.openxmlformats.org/markup-compatibility/2006">
          <mc:Choice Requires="x14">
            <control shapeId="8201" r:id="rId10" name="Drop Down 9">
              <controlPr defaultSize="0" autoLine="0" autoPict="0">
                <anchor moveWithCells="1">
                  <from>
                    <xdr:col>2</xdr:col>
                    <xdr:colOff>12700</xdr:colOff>
                    <xdr:row>12</xdr:row>
                    <xdr:rowOff>177800</xdr:rowOff>
                  </from>
                  <to>
                    <xdr:col>7</xdr:col>
                    <xdr:colOff>596900</xdr:colOff>
                    <xdr:row>14</xdr:row>
                    <xdr:rowOff>12700</xdr:rowOff>
                  </to>
                </anchor>
              </controlPr>
            </control>
          </mc:Choice>
        </mc:AlternateContent>
        <mc:AlternateContent xmlns:mc="http://schemas.openxmlformats.org/markup-compatibility/2006">
          <mc:Choice Requires="x14">
            <control shapeId="8202" r:id="rId11" name="Option Button 10">
              <controlPr defaultSize="0" autoFill="0" autoLine="0" autoPict="0" altText="Use recommended storage dimensioning ">
                <anchor moveWithCells="1">
                  <from>
                    <xdr:col>2</xdr:col>
                    <xdr:colOff>50800</xdr:colOff>
                    <xdr:row>46</xdr:row>
                    <xdr:rowOff>0</xdr:rowOff>
                  </from>
                  <to>
                    <xdr:col>6</xdr:col>
                    <xdr:colOff>482600</xdr:colOff>
                    <xdr:row>47</xdr:row>
                    <xdr:rowOff>63500</xdr:rowOff>
                  </to>
                </anchor>
              </controlPr>
            </control>
          </mc:Choice>
        </mc:AlternateContent>
        <mc:AlternateContent xmlns:mc="http://schemas.openxmlformats.org/markup-compatibility/2006">
          <mc:Choice Requires="x14">
            <control shapeId="8203" r:id="rId12" name="Option Button 11">
              <controlPr defaultSize="0" autoFill="0" autoLine="0" autoPict="0" altText="Use customized values">
                <anchor moveWithCells="1">
                  <from>
                    <xdr:col>2</xdr:col>
                    <xdr:colOff>50800</xdr:colOff>
                    <xdr:row>47</xdr:row>
                    <xdr:rowOff>25400</xdr:rowOff>
                  </from>
                  <to>
                    <xdr:col>5</xdr:col>
                    <xdr:colOff>596900</xdr:colOff>
                    <xdr:row>48</xdr:row>
                    <xdr:rowOff>63500</xdr:rowOff>
                  </to>
                </anchor>
              </controlPr>
            </control>
          </mc:Choice>
        </mc:AlternateContent>
        <mc:AlternateContent xmlns:mc="http://schemas.openxmlformats.org/markup-compatibility/2006">
          <mc:Choice Requires="x14">
            <control shapeId="8204" r:id="rId13" name="Option Button 12">
              <controlPr defaultSize="0" autoFill="0" autoLine="0" autoPict="0" altText="Use customized values">
                <anchor moveWithCells="1">
                  <from>
                    <xdr:col>2</xdr:col>
                    <xdr:colOff>50800</xdr:colOff>
                    <xdr:row>48</xdr:row>
                    <xdr:rowOff>25400</xdr:rowOff>
                  </from>
                  <to>
                    <xdr:col>6</xdr:col>
                    <xdr:colOff>596900</xdr:colOff>
                    <xdr:row>49</xdr:row>
                    <xdr:rowOff>63500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25EA5-8D33-DE4E-A66E-A32AD20E976B}">
  <dimension ref="A1:MH603"/>
  <sheetViews>
    <sheetView showRowColHeaders="0" zoomScaleNormal="100" workbookViewId="0">
      <selection activeCell="C29" sqref="C29"/>
    </sheetView>
  </sheetViews>
  <sheetFormatPr baseColWidth="10" defaultRowHeight="15" x14ac:dyDescent="0.2"/>
  <cols>
    <col min="1" max="1" width="6.1640625" customWidth="1"/>
    <col min="2" max="2" width="6.83203125" customWidth="1"/>
    <col min="3" max="4" width="9.83203125" customWidth="1"/>
    <col min="5" max="10" width="6.83203125" customWidth="1"/>
    <col min="11" max="11" width="12.83203125" customWidth="1"/>
    <col min="12" max="13" width="6.83203125" customWidth="1"/>
    <col min="14" max="14" width="12.83203125" customWidth="1"/>
    <col min="15" max="15" width="7" customWidth="1"/>
    <col min="16" max="16" width="6.83203125" customWidth="1"/>
    <col min="17" max="17" width="5.1640625" customWidth="1"/>
    <col min="18" max="346" width="10.83203125" style="81"/>
  </cols>
  <sheetData>
    <row r="1" spans="1:17" ht="29" customHeight="1" x14ac:dyDescent="0.2">
      <c r="A1" s="65"/>
      <c r="B1" s="138"/>
      <c r="C1" s="138"/>
      <c r="D1" s="138"/>
      <c r="E1" s="138"/>
      <c r="F1" s="138"/>
      <c r="G1" s="138"/>
      <c r="H1" s="138"/>
      <c r="I1" s="138"/>
      <c r="J1" s="138"/>
      <c r="K1" s="138"/>
      <c r="L1" s="138"/>
      <c r="M1" s="138"/>
      <c r="N1" s="138"/>
      <c r="O1" s="138"/>
      <c r="P1" s="138"/>
      <c r="Q1" s="65"/>
    </row>
    <row r="2" spans="1:17" ht="20" x14ac:dyDescent="0.25">
      <c r="A2" s="65"/>
      <c r="B2" s="82" t="s">
        <v>263</v>
      </c>
      <c r="C2" s="138"/>
      <c r="D2" s="138"/>
      <c r="E2" s="138"/>
      <c r="F2" s="138"/>
      <c r="G2" s="138"/>
      <c r="H2" s="138"/>
      <c r="I2" s="138"/>
      <c r="J2" s="138"/>
      <c r="K2" s="138"/>
      <c r="L2" s="138"/>
      <c r="M2" s="138"/>
      <c r="N2" s="138"/>
      <c r="O2" s="138"/>
      <c r="P2" s="138"/>
      <c r="Q2" s="65"/>
    </row>
    <row r="3" spans="1:17" x14ac:dyDescent="0.2">
      <c r="A3" s="65"/>
      <c r="B3" s="138"/>
      <c r="C3" s="138"/>
      <c r="D3" s="138"/>
      <c r="E3" s="138"/>
      <c r="F3" s="138"/>
      <c r="G3" s="138"/>
      <c r="H3" s="138"/>
      <c r="I3" s="138"/>
      <c r="J3" s="138"/>
      <c r="K3" s="138"/>
      <c r="L3" s="138"/>
      <c r="M3" s="138"/>
      <c r="N3" s="138"/>
      <c r="O3" s="138"/>
      <c r="P3" s="138"/>
      <c r="Q3" s="65"/>
    </row>
    <row r="4" spans="1:17" x14ac:dyDescent="0.2">
      <c r="A4" s="65"/>
      <c r="B4" s="138"/>
      <c r="C4" s="138"/>
      <c r="D4" s="138"/>
      <c r="E4" s="138"/>
      <c r="F4" s="138"/>
      <c r="G4" s="138"/>
      <c r="H4" s="138"/>
      <c r="I4" s="138"/>
      <c r="J4" s="138"/>
      <c r="K4" s="138"/>
      <c r="L4" s="138"/>
      <c r="M4" s="138"/>
      <c r="N4" s="138"/>
      <c r="O4" s="138"/>
      <c r="P4" s="138"/>
      <c r="Q4" s="65"/>
    </row>
    <row r="5" spans="1:17" ht="27" customHeight="1" x14ac:dyDescent="0.2">
      <c r="A5" s="65"/>
      <c r="B5" s="139"/>
      <c r="C5" s="140" t="s">
        <v>264</v>
      </c>
      <c r="D5" s="140"/>
      <c r="E5" s="140"/>
      <c r="F5" s="141"/>
      <c r="G5" s="141"/>
      <c r="H5" s="141"/>
      <c r="I5" s="141"/>
      <c r="J5" s="141"/>
      <c r="K5" s="141"/>
      <c r="L5" s="141"/>
      <c r="M5" s="141"/>
      <c r="N5" s="141"/>
      <c r="O5" s="141"/>
      <c r="P5" s="142"/>
      <c r="Q5" s="65"/>
    </row>
    <row r="6" spans="1:17" x14ac:dyDescent="0.2">
      <c r="A6" s="65"/>
      <c r="B6" s="143"/>
      <c r="C6" s="71"/>
      <c r="D6" s="71"/>
      <c r="E6" s="71"/>
      <c r="F6" s="71"/>
      <c r="G6" s="71"/>
      <c r="H6" s="71"/>
      <c r="I6" s="144"/>
      <c r="J6" s="144"/>
      <c r="K6" s="144"/>
      <c r="L6" s="144"/>
      <c r="M6" s="144"/>
      <c r="N6" s="144"/>
      <c r="O6" s="144"/>
      <c r="P6" s="145"/>
      <c r="Q6" s="65"/>
    </row>
    <row r="7" spans="1:17" x14ac:dyDescent="0.2">
      <c r="A7" s="65"/>
      <c r="B7" s="143"/>
      <c r="C7" s="146" t="s">
        <v>356</v>
      </c>
      <c r="D7" s="96"/>
      <c r="E7" s="96"/>
      <c r="F7" s="144"/>
      <c r="G7" s="144"/>
      <c r="H7" s="144"/>
      <c r="I7" s="144"/>
      <c r="J7" s="144"/>
      <c r="K7" s="144"/>
      <c r="L7" s="144"/>
      <c r="M7" s="144"/>
      <c r="N7" s="144"/>
      <c r="O7" s="144"/>
      <c r="P7" s="145"/>
      <c r="Q7" s="65"/>
    </row>
    <row r="8" spans="1:17" x14ac:dyDescent="0.2">
      <c r="A8" s="65"/>
      <c r="B8" s="143"/>
      <c r="C8" s="241">
        <f>'Tiger Connector'!E8</f>
        <v>0</v>
      </c>
      <c r="D8" s="90"/>
      <c r="E8" s="90"/>
      <c r="F8" s="144"/>
      <c r="G8" s="144"/>
      <c r="H8" s="144"/>
      <c r="I8" s="144"/>
      <c r="J8" s="144"/>
      <c r="K8" s="144"/>
      <c r="L8" s="144"/>
      <c r="M8" s="144"/>
      <c r="N8" s="144"/>
      <c r="O8" s="144"/>
      <c r="P8" s="145"/>
      <c r="Q8" s="65"/>
    </row>
    <row r="9" spans="1:17" x14ac:dyDescent="0.2">
      <c r="A9" s="65"/>
      <c r="B9" s="143"/>
      <c r="C9" s="147"/>
      <c r="D9" s="90"/>
      <c r="E9" s="90"/>
      <c r="F9" s="144"/>
      <c r="G9" s="144"/>
      <c r="H9" s="144"/>
      <c r="I9" s="144"/>
      <c r="J9" s="144"/>
      <c r="K9" s="144"/>
      <c r="L9" s="144"/>
      <c r="M9" s="144"/>
      <c r="N9" s="144"/>
      <c r="O9" s="144"/>
      <c r="P9" s="145"/>
      <c r="Q9" s="65"/>
    </row>
    <row r="10" spans="1:17" x14ac:dyDescent="0.2">
      <c r="A10" s="65"/>
      <c r="B10" s="143"/>
      <c r="C10" s="146" t="s">
        <v>265</v>
      </c>
      <c r="D10" s="96"/>
      <c r="E10" s="96"/>
      <c r="F10" s="144"/>
      <c r="G10" s="144"/>
      <c r="H10" s="144"/>
      <c r="I10" s="144"/>
      <c r="J10" s="144"/>
      <c r="K10" s="144"/>
      <c r="L10" s="144"/>
      <c r="M10" s="144"/>
      <c r="N10" s="144"/>
      <c r="O10" s="144"/>
      <c r="P10" s="145"/>
      <c r="Q10" s="65"/>
    </row>
    <row r="11" spans="1:17" x14ac:dyDescent="0.2">
      <c r="A11" s="65"/>
      <c r="B11" s="143"/>
      <c r="C11" s="147">
        <f>Total_Days</f>
        <v>0</v>
      </c>
      <c r="D11" s="90"/>
      <c r="E11" s="90"/>
      <c r="F11" s="144"/>
      <c r="G11" s="144"/>
      <c r="H11" s="144"/>
      <c r="I11" s="144"/>
      <c r="J11" s="144"/>
      <c r="K11" s="144"/>
      <c r="L11" s="144"/>
      <c r="M11" s="144"/>
      <c r="N11" s="144"/>
      <c r="O11" s="144"/>
      <c r="P11" s="145"/>
      <c r="Q11" s="65"/>
    </row>
    <row r="12" spans="1:17" x14ac:dyDescent="0.2">
      <c r="A12" s="65"/>
      <c r="B12" s="143"/>
      <c r="C12" s="147"/>
      <c r="D12" s="90"/>
      <c r="E12" s="90"/>
      <c r="F12" s="144"/>
      <c r="G12" s="144"/>
      <c r="H12" s="144"/>
      <c r="I12" s="144"/>
      <c r="J12" s="144"/>
      <c r="K12" s="144"/>
      <c r="L12" s="144"/>
      <c r="M12" s="144"/>
      <c r="N12" s="144"/>
      <c r="O12" s="144"/>
      <c r="P12" s="145"/>
      <c r="Q12" s="65"/>
    </row>
    <row r="13" spans="1:17" x14ac:dyDescent="0.2">
      <c r="A13" s="65"/>
      <c r="B13" s="143"/>
      <c r="C13" s="147"/>
      <c r="D13" s="96" t="s">
        <v>266</v>
      </c>
      <c r="E13" s="90"/>
      <c r="F13" s="144" t="s">
        <v>267</v>
      </c>
      <c r="G13" s="144"/>
      <c r="H13" s="144"/>
      <c r="I13" s="144"/>
      <c r="J13" s="144"/>
      <c r="K13" s="144"/>
      <c r="L13" s="144"/>
      <c r="M13" s="144"/>
      <c r="N13" s="144"/>
      <c r="O13" s="144"/>
      <c r="P13" s="145"/>
      <c r="Q13" s="65"/>
    </row>
    <row r="14" spans="1:17" ht="16" x14ac:dyDescent="0.2">
      <c r="A14" s="65"/>
      <c r="B14" s="143"/>
      <c r="C14" s="147"/>
      <c r="D14" s="148">
        <v>30</v>
      </c>
      <c r="E14" s="90"/>
      <c r="F14" s="254" t="s">
        <v>354</v>
      </c>
      <c r="G14" s="255"/>
      <c r="H14" s="255"/>
      <c r="I14" s="255"/>
      <c r="J14" s="255"/>
      <c r="K14" s="255"/>
      <c r="L14" s="255"/>
      <c r="M14" s="256"/>
      <c r="N14" s="144"/>
      <c r="O14" s="144"/>
      <c r="P14" s="145"/>
      <c r="Q14" s="65"/>
    </row>
    <row r="15" spans="1:17" x14ac:dyDescent="0.2">
      <c r="A15" s="65"/>
      <c r="B15" s="143"/>
      <c r="C15" s="147"/>
      <c r="D15" s="90"/>
      <c r="E15" s="90"/>
      <c r="F15" s="81"/>
      <c r="G15" s="81"/>
      <c r="H15" s="81"/>
      <c r="I15" s="81"/>
      <c r="J15" s="81"/>
      <c r="K15" s="144"/>
      <c r="L15" s="144"/>
      <c r="M15" s="144"/>
      <c r="N15" s="144"/>
      <c r="O15" s="144"/>
      <c r="P15" s="145"/>
      <c r="Q15" s="65"/>
    </row>
    <row r="16" spans="1:17" x14ac:dyDescent="0.2">
      <c r="A16" s="65"/>
      <c r="B16" s="143"/>
      <c r="C16" s="147"/>
      <c r="D16" s="96" t="s">
        <v>268</v>
      </c>
      <c r="E16" s="90"/>
      <c r="F16" s="81"/>
      <c r="G16" s="81"/>
      <c r="H16" s="81"/>
      <c r="I16" s="81"/>
      <c r="J16" s="81"/>
      <c r="K16" s="144"/>
      <c r="L16" s="144"/>
      <c r="M16" s="144"/>
      <c r="N16" s="144"/>
      <c r="O16" s="144"/>
      <c r="P16" s="145"/>
      <c r="Q16" s="65"/>
    </row>
    <row r="17" spans="1:17" ht="16" x14ac:dyDescent="0.2">
      <c r="A17" s="65"/>
      <c r="B17" s="143"/>
      <c r="C17" s="147"/>
      <c r="D17" s="149">
        <f>C11-D14</f>
        <v>-30</v>
      </c>
      <c r="E17" s="90"/>
      <c r="F17" s="254" t="s">
        <v>353</v>
      </c>
      <c r="G17" s="255"/>
      <c r="H17" s="255"/>
      <c r="I17" s="255"/>
      <c r="J17" s="255"/>
      <c r="K17" s="255"/>
      <c r="L17" s="255"/>
      <c r="M17" s="256"/>
      <c r="N17" s="144"/>
      <c r="O17" s="144"/>
      <c r="P17" s="145"/>
      <c r="Q17" s="65"/>
    </row>
    <row r="18" spans="1:17" x14ac:dyDescent="0.2">
      <c r="A18" s="65"/>
      <c r="B18" s="143"/>
      <c r="C18" s="147"/>
      <c r="D18" s="90"/>
      <c r="E18" s="90"/>
      <c r="F18" s="144"/>
      <c r="G18" s="144"/>
      <c r="H18" s="144"/>
      <c r="I18" s="144"/>
      <c r="J18" s="144"/>
      <c r="K18" s="144"/>
      <c r="L18" s="144"/>
      <c r="M18" s="144"/>
      <c r="N18" s="144"/>
      <c r="O18" s="144"/>
      <c r="P18" s="145"/>
      <c r="Q18" s="65"/>
    </row>
    <row r="19" spans="1:17" x14ac:dyDescent="0.2">
      <c r="A19" s="65"/>
      <c r="B19" s="143"/>
      <c r="C19" s="147"/>
      <c r="D19" s="90"/>
      <c r="E19" s="90"/>
      <c r="F19" s="144"/>
      <c r="G19" s="144"/>
      <c r="H19" s="144"/>
      <c r="I19" s="144"/>
      <c r="J19" s="144"/>
      <c r="K19" s="144"/>
      <c r="L19" s="144"/>
      <c r="M19" s="144"/>
      <c r="N19" s="144"/>
      <c r="O19" s="144"/>
      <c r="P19" s="145"/>
      <c r="Q19" s="65"/>
    </row>
    <row r="20" spans="1:17" x14ac:dyDescent="0.2">
      <c r="A20" s="65"/>
      <c r="B20" s="143"/>
      <c r="C20" s="146" t="s">
        <v>269</v>
      </c>
      <c r="D20" s="90"/>
      <c r="E20" s="90"/>
      <c r="F20" s="144"/>
      <c r="G20" s="144"/>
      <c r="H20" s="144"/>
      <c r="I20" s="144"/>
      <c r="J20" s="144"/>
      <c r="K20" s="144"/>
      <c r="L20" s="144"/>
      <c r="M20" s="144"/>
      <c r="N20" s="144"/>
      <c r="O20" s="144"/>
      <c r="P20" s="145"/>
      <c r="Q20" s="65"/>
    </row>
    <row r="21" spans="1:17" x14ac:dyDescent="0.2">
      <c r="A21" s="65"/>
      <c r="B21" s="143"/>
      <c r="C21" s="67" t="s">
        <v>270</v>
      </c>
      <c r="D21" s="90"/>
      <c r="E21" s="90"/>
      <c r="F21" s="144"/>
      <c r="G21" s="144"/>
      <c r="H21" s="144"/>
      <c r="I21" s="144"/>
      <c r="J21" s="144"/>
      <c r="K21" s="144"/>
      <c r="L21" s="144"/>
      <c r="M21" s="144"/>
      <c r="N21" s="144"/>
      <c r="O21" s="144"/>
      <c r="P21" s="145"/>
      <c r="Q21" s="65"/>
    </row>
    <row r="22" spans="1:17" x14ac:dyDescent="0.2">
      <c r="A22" s="65"/>
      <c r="B22" s="143"/>
      <c r="C22" s="150">
        <v>0</v>
      </c>
      <c r="D22" s="151"/>
      <c r="E22" s="151"/>
      <c r="F22" s="144"/>
      <c r="G22" s="144"/>
      <c r="H22" s="144"/>
      <c r="I22" s="144"/>
      <c r="J22" s="144"/>
      <c r="K22" s="144"/>
      <c r="L22" s="144"/>
      <c r="M22" s="144"/>
      <c r="N22" s="144"/>
      <c r="O22" s="144"/>
      <c r="P22" s="145"/>
      <c r="Q22" s="65"/>
    </row>
    <row r="23" spans="1:17" x14ac:dyDescent="0.2">
      <c r="A23" s="65"/>
      <c r="B23" s="143"/>
      <c r="C23" s="147"/>
      <c r="D23" s="90"/>
      <c r="E23" s="90"/>
      <c r="F23" s="144"/>
      <c r="G23" s="144"/>
      <c r="H23" s="144"/>
      <c r="I23" s="144"/>
      <c r="J23" s="144"/>
      <c r="K23" s="144"/>
      <c r="L23" s="144"/>
      <c r="M23" s="144"/>
      <c r="N23" s="144"/>
      <c r="O23" s="144"/>
      <c r="P23" s="145"/>
      <c r="Q23" s="65"/>
    </row>
    <row r="24" spans="1:17" x14ac:dyDescent="0.2">
      <c r="A24" s="65"/>
      <c r="B24" s="143"/>
      <c r="C24" s="147"/>
      <c r="D24" s="90"/>
      <c r="E24" s="90"/>
      <c r="F24" s="144"/>
      <c r="G24" s="144"/>
      <c r="H24" s="144"/>
      <c r="I24" s="144"/>
      <c r="J24" s="144"/>
      <c r="K24" s="144"/>
      <c r="L24" s="144"/>
      <c r="M24" s="144"/>
      <c r="N24" s="144"/>
      <c r="O24" s="144"/>
      <c r="P24" s="145"/>
      <c r="Q24" s="65"/>
    </row>
    <row r="25" spans="1:17" x14ac:dyDescent="0.2">
      <c r="A25" s="65"/>
      <c r="B25" s="143"/>
      <c r="C25" s="144"/>
      <c r="D25" s="144"/>
      <c r="E25" s="144"/>
      <c r="F25" s="144"/>
      <c r="G25" s="144"/>
      <c r="H25" s="144"/>
      <c r="I25" s="144"/>
      <c r="J25" s="144"/>
      <c r="K25" s="144"/>
      <c r="L25" s="144"/>
      <c r="M25" s="144"/>
      <c r="N25" s="144"/>
      <c r="O25" s="144"/>
      <c r="P25" s="145"/>
      <c r="Q25" s="65"/>
    </row>
    <row r="26" spans="1:17" x14ac:dyDescent="0.2">
      <c r="A26" s="65"/>
      <c r="B26" s="143"/>
      <c r="C26" s="146" t="s">
        <v>271</v>
      </c>
      <c r="D26" s="96"/>
      <c r="E26" s="96"/>
      <c r="F26" s="144"/>
      <c r="G26" s="144"/>
      <c r="H26" s="144"/>
      <c r="I26" s="144"/>
      <c r="J26" s="144"/>
      <c r="K26" s="144"/>
      <c r="L26" s="144"/>
      <c r="M26" s="144"/>
      <c r="N26" s="144"/>
      <c r="O26" s="144"/>
      <c r="P26" s="145"/>
      <c r="Q26" s="65"/>
    </row>
    <row r="27" spans="1:17" x14ac:dyDescent="0.2">
      <c r="A27" s="65"/>
      <c r="B27" s="143"/>
      <c r="C27" s="67" t="s">
        <v>272</v>
      </c>
      <c r="D27" s="90"/>
      <c r="E27" s="90"/>
      <c r="F27" s="144"/>
      <c r="G27" s="144"/>
      <c r="H27" s="144"/>
      <c r="I27" s="144"/>
      <c r="J27" s="144"/>
      <c r="K27" s="144"/>
      <c r="L27" s="144"/>
      <c r="M27" s="144"/>
      <c r="N27" s="144"/>
      <c r="O27" s="144"/>
      <c r="P27" s="145"/>
      <c r="Q27" s="65"/>
    </row>
    <row r="28" spans="1:17" x14ac:dyDescent="0.2">
      <c r="A28" s="65"/>
      <c r="B28" s="143"/>
      <c r="C28" s="152">
        <v>16</v>
      </c>
      <c r="D28" s="119"/>
      <c r="E28" s="119"/>
      <c r="F28" s="119"/>
      <c r="G28" s="119"/>
      <c r="H28" s="119"/>
      <c r="I28" s="144"/>
      <c r="J28" s="144"/>
      <c r="K28" s="144"/>
      <c r="L28" s="144"/>
      <c r="M28" s="144"/>
      <c r="N28" s="144"/>
      <c r="O28" s="144"/>
      <c r="P28" s="145"/>
      <c r="Q28" s="65"/>
    </row>
    <row r="29" spans="1:17" x14ac:dyDescent="0.2">
      <c r="A29" s="65"/>
      <c r="B29" s="143"/>
      <c r="C29" s="119"/>
      <c r="D29" s="119"/>
      <c r="E29" s="119"/>
      <c r="F29" s="119"/>
      <c r="G29" s="119"/>
      <c r="H29" s="119"/>
      <c r="I29" s="144"/>
      <c r="J29" s="144"/>
      <c r="K29" s="144"/>
      <c r="L29" s="144"/>
      <c r="M29" s="144"/>
      <c r="N29" s="144"/>
      <c r="O29" s="144"/>
      <c r="P29" s="145"/>
      <c r="Q29" s="65"/>
    </row>
    <row r="30" spans="1:17" x14ac:dyDescent="0.2">
      <c r="A30" s="65"/>
      <c r="B30" s="153"/>
      <c r="C30" s="154"/>
      <c r="D30" s="154"/>
      <c r="E30" s="154"/>
      <c r="F30" s="154"/>
      <c r="G30" s="154"/>
      <c r="H30" s="154"/>
      <c r="I30" s="154"/>
      <c r="J30" s="154"/>
      <c r="K30" s="154"/>
      <c r="L30" s="154"/>
      <c r="M30" s="154"/>
      <c r="N30" s="154"/>
      <c r="O30" s="154"/>
      <c r="P30" s="155"/>
      <c r="Q30" s="65"/>
    </row>
    <row r="31" spans="1:17" x14ac:dyDescent="0.2">
      <c r="A31" s="65"/>
      <c r="B31" s="138"/>
      <c r="C31" s="138"/>
      <c r="D31" s="138"/>
      <c r="E31" s="138"/>
      <c r="F31" s="138"/>
      <c r="G31" s="138"/>
      <c r="H31" s="138"/>
      <c r="I31" s="138"/>
      <c r="J31" s="138"/>
      <c r="K31" s="138"/>
      <c r="L31" s="138"/>
      <c r="M31" s="138"/>
      <c r="N31" s="138"/>
      <c r="O31" s="138"/>
      <c r="P31" s="138"/>
      <c r="Q31" s="65"/>
    </row>
    <row r="32" spans="1:17" x14ac:dyDescent="0.2">
      <c r="A32" s="65"/>
      <c r="B32" s="138"/>
      <c r="C32" s="138"/>
      <c r="D32" s="138"/>
      <c r="E32" s="138"/>
      <c r="F32" s="138"/>
      <c r="G32" s="138"/>
      <c r="H32" s="138"/>
      <c r="I32" s="138"/>
      <c r="J32" s="138"/>
      <c r="K32" s="138"/>
      <c r="L32" s="138"/>
      <c r="M32" s="138"/>
      <c r="N32" s="138"/>
      <c r="O32" s="138"/>
      <c r="P32" s="138"/>
      <c r="Q32" s="65"/>
    </row>
    <row r="33" spans="1:346" x14ac:dyDescent="0.2">
      <c r="A33" s="65"/>
      <c r="B33" s="156" t="str">
        <f>"AWS Service - estimated service usage and pricing - S3 storage only "&amp;Region_Name</f>
        <v>AWS Service - estimated service usage and pricing - S3 storage only Select Region</v>
      </c>
      <c r="C33" s="157"/>
      <c r="D33" s="157"/>
      <c r="E33" s="157"/>
      <c r="F33" s="157"/>
      <c r="G33" s="157"/>
      <c r="H33" s="157"/>
      <c r="I33" s="157"/>
      <c r="J33" s="157"/>
      <c r="K33" s="157"/>
      <c r="L33" s="157"/>
      <c r="M33" s="157"/>
      <c r="N33" s="157"/>
      <c r="O33" s="157"/>
      <c r="P33" s="157"/>
      <c r="Q33" s="65"/>
    </row>
    <row r="34" spans="1:346" x14ac:dyDescent="0.2">
      <c r="A34" s="65"/>
      <c r="B34" s="69" t="str">
        <f>IF(InputData=FALSE,"Please provide all input information requested above. The following information is missing:","")</f>
        <v>Please provide all input information requested above. The following information is missing:</v>
      </c>
      <c r="C34" s="138"/>
      <c r="D34" s="138"/>
      <c r="E34" s="138"/>
      <c r="F34" s="138"/>
      <c r="G34" s="138"/>
      <c r="H34" s="138"/>
      <c r="I34" s="138"/>
      <c r="J34" s="138"/>
      <c r="K34" s="138"/>
      <c r="L34" s="138"/>
      <c r="M34" s="138"/>
      <c r="N34" s="138"/>
      <c r="O34" s="138"/>
      <c r="P34" s="138"/>
      <c r="Q34" s="65"/>
    </row>
    <row r="35" spans="1:346" s="160" customFormat="1" ht="13" x14ac:dyDescent="0.2">
      <c r="A35" s="158"/>
      <c r="B35" s="70"/>
      <c r="C35" s="138"/>
      <c r="D35" s="138"/>
      <c r="E35" s="138"/>
      <c r="F35" s="138"/>
      <c r="G35" s="138"/>
      <c r="H35" s="138"/>
      <c r="I35" s="138"/>
      <c r="J35" s="138"/>
      <c r="K35" s="138"/>
      <c r="L35" s="138"/>
      <c r="M35" s="138"/>
      <c r="N35" s="138"/>
      <c r="O35" s="138"/>
      <c r="P35" s="138"/>
      <c r="Q35" s="158"/>
      <c r="R35" s="159"/>
      <c r="S35" s="159"/>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9"/>
      <c r="BC35" s="159"/>
      <c r="BD35" s="159"/>
      <c r="BE35" s="159"/>
      <c r="BF35" s="159"/>
      <c r="BG35" s="159"/>
      <c r="BH35" s="159"/>
      <c r="BI35" s="159"/>
      <c r="BJ35" s="159"/>
      <c r="BK35" s="159"/>
      <c r="BL35" s="159"/>
      <c r="BM35" s="159"/>
      <c r="BN35" s="159"/>
      <c r="BO35" s="159"/>
      <c r="BP35" s="159"/>
      <c r="BQ35" s="159"/>
      <c r="BR35" s="159"/>
      <c r="BS35" s="159"/>
      <c r="BT35" s="159"/>
      <c r="BU35" s="159"/>
      <c r="BV35" s="159"/>
      <c r="BW35" s="159"/>
      <c r="BX35" s="159"/>
      <c r="BY35" s="159"/>
      <c r="BZ35" s="159"/>
      <c r="CA35" s="159"/>
      <c r="CB35" s="159"/>
      <c r="CC35" s="159"/>
      <c r="CD35" s="159"/>
      <c r="CE35" s="159"/>
      <c r="CF35" s="159"/>
      <c r="CG35" s="159"/>
      <c r="CH35" s="159"/>
      <c r="CI35" s="159"/>
      <c r="CJ35" s="159"/>
      <c r="CK35" s="159"/>
      <c r="CL35" s="159"/>
      <c r="CM35" s="159"/>
      <c r="CN35" s="159"/>
      <c r="CO35" s="159"/>
      <c r="CP35" s="159"/>
      <c r="CQ35" s="159"/>
      <c r="CR35" s="159"/>
      <c r="CS35" s="159"/>
      <c r="CT35" s="159"/>
      <c r="CU35" s="159"/>
      <c r="CV35" s="159"/>
      <c r="CW35" s="159"/>
      <c r="CX35" s="159"/>
      <c r="CY35" s="159"/>
      <c r="CZ35" s="159"/>
      <c r="DA35" s="159"/>
      <c r="DB35" s="159"/>
      <c r="DC35" s="159"/>
      <c r="DD35" s="159"/>
      <c r="DE35" s="159"/>
      <c r="DF35" s="159"/>
      <c r="DG35" s="159"/>
      <c r="DH35" s="159"/>
      <c r="DI35" s="159"/>
      <c r="DJ35" s="159"/>
      <c r="DK35" s="159"/>
      <c r="DL35" s="159"/>
      <c r="DM35" s="159"/>
      <c r="DN35" s="159"/>
      <c r="DO35" s="159"/>
      <c r="DP35" s="159"/>
      <c r="DQ35" s="159"/>
      <c r="DR35" s="159"/>
      <c r="DS35" s="159"/>
      <c r="DT35" s="159"/>
      <c r="DU35" s="159"/>
      <c r="DV35" s="159"/>
      <c r="DW35" s="159"/>
      <c r="DX35" s="159"/>
      <c r="DY35" s="159"/>
      <c r="DZ35" s="159"/>
      <c r="EA35" s="159"/>
      <c r="EB35" s="159"/>
      <c r="EC35" s="159"/>
      <c r="ED35" s="159"/>
      <c r="EE35" s="159"/>
      <c r="EF35" s="159"/>
      <c r="EG35" s="159"/>
      <c r="EH35" s="159"/>
      <c r="EI35" s="159"/>
      <c r="EJ35" s="159"/>
      <c r="EK35" s="159"/>
      <c r="EL35" s="159"/>
      <c r="EM35" s="159"/>
      <c r="EN35" s="159"/>
      <c r="EO35" s="159"/>
      <c r="EP35" s="159"/>
      <c r="EQ35" s="159"/>
      <c r="ER35" s="159"/>
      <c r="ES35" s="159"/>
      <c r="ET35" s="159"/>
      <c r="EU35" s="159"/>
      <c r="EV35" s="159"/>
      <c r="EW35" s="159"/>
      <c r="EX35" s="159"/>
      <c r="EY35" s="159"/>
      <c r="EZ35" s="159"/>
      <c r="FA35" s="159"/>
      <c r="FB35" s="159"/>
      <c r="FC35" s="159"/>
      <c r="FD35" s="159"/>
      <c r="FE35" s="159"/>
      <c r="FF35" s="159"/>
      <c r="FG35" s="159"/>
      <c r="FH35" s="159"/>
      <c r="FI35" s="159"/>
      <c r="FJ35" s="159"/>
      <c r="FK35" s="159"/>
      <c r="FL35" s="159"/>
      <c r="FM35" s="159"/>
      <c r="FN35" s="159"/>
      <c r="FO35" s="159"/>
      <c r="FP35" s="159"/>
      <c r="FQ35" s="159"/>
      <c r="FR35" s="159"/>
      <c r="FS35" s="159"/>
      <c r="FT35" s="159"/>
      <c r="FU35" s="159"/>
      <c r="FV35" s="159"/>
      <c r="FW35" s="159"/>
      <c r="FX35" s="159"/>
      <c r="FY35" s="159"/>
      <c r="FZ35" s="159"/>
      <c r="GA35" s="159"/>
      <c r="GB35" s="159"/>
      <c r="GC35" s="159"/>
      <c r="GD35" s="159"/>
      <c r="GE35" s="159"/>
      <c r="GF35" s="159"/>
      <c r="GG35" s="159"/>
      <c r="GH35" s="159"/>
      <c r="GI35" s="159"/>
      <c r="GJ35" s="159"/>
      <c r="GK35" s="159"/>
      <c r="GL35" s="159"/>
      <c r="GM35" s="159"/>
      <c r="GN35" s="159"/>
      <c r="GO35" s="159"/>
      <c r="GP35" s="159"/>
      <c r="GQ35" s="159"/>
      <c r="GR35" s="159"/>
      <c r="GS35" s="159"/>
      <c r="GT35" s="159"/>
      <c r="GU35" s="159"/>
      <c r="GV35" s="159"/>
      <c r="GW35" s="159"/>
      <c r="GX35" s="159"/>
      <c r="GY35" s="159"/>
      <c r="GZ35" s="159"/>
      <c r="HA35" s="159"/>
      <c r="HB35" s="159"/>
      <c r="HC35" s="159"/>
      <c r="HD35" s="159"/>
      <c r="HE35" s="159"/>
      <c r="HF35" s="159"/>
      <c r="HG35" s="159"/>
      <c r="HH35" s="159"/>
      <c r="HI35" s="159"/>
      <c r="HJ35" s="159"/>
      <c r="HK35" s="159"/>
      <c r="HL35" s="159"/>
      <c r="HM35" s="159"/>
      <c r="HN35" s="159"/>
      <c r="HO35" s="159"/>
      <c r="HP35" s="159"/>
      <c r="HQ35" s="159"/>
      <c r="HR35" s="159"/>
      <c r="HS35" s="159"/>
      <c r="HT35" s="159"/>
      <c r="HU35" s="159"/>
      <c r="HV35" s="159"/>
      <c r="HW35" s="159"/>
      <c r="HX35" s="159"/>
      <c r="HY35" s="159"/>
      <c r="HZ35" s="159"/>
      <c r="IA35" s="159"/>
      <c r="IB35" s="159"/>
      <c r="IC35" s="159"/>
      <c r="ID35" s="159"/>
      <c r="IE35" s="159"/>
      <c r="IF35" s="159"/>
      <c r="IG35" s="159"/>
      <c r="IH35" s="159"/>
      <c r="II35" s="159"/>
      <c r="IJ35" s="159"/>
      <c r="IK35" s="159"/>
      <c r="IL35" s="159"/>
      <c r="IM35" s="159"/>
      <c r="IN35" s="159"/>
      <c r="IO35" s="159"/>
      <c r="IP35" s="159"/>
      <c r="IQ35" s="159"/>
      <c r="IR35" s="159"/>
      <c r="IS35" s="159"/>
      <c r="IT35" s="159"/>
      <c r="IU35" s="159"/>
      <c r="IV35" s="159"/>
      <c r="IW35" s="159"/>
      <c r="IX35" s="159"/>
      <c r="IY35" s="159"/>
      <c r="IZ35" s="159"/>
      <c r="JA35" s="159"/>
      <c r="JB35" s="159"/>
      <c r="JC35" s="159"/>
      <c r="JD35" s="159"/>
      <c r="JE35" s="159"/>
      <c r="JF35" s="159"/>
      <c r="JG35" s="159"/>
      <c r="JH35" s="159"/>
      <c r="JI35" s="159"/>
      <c r="JJ35" s="159"/>
      <c r="JK35" s="159"/>
      <c r="JL35" s="159"/>
      <c r="JM35" s="159"/>
      <c r="JN35" s="159"/>
      <c r="JO35" s="159"/>
      <c r="JP35" s="159"/>
      <c r="JQ35" s="159"/>
      <c r="JR35" s="159"/>
      <c r="JS35" s="159"/>
      <c r="JT35" s="159"/>
      <c r="JU35" s="159"/>
      <c r="JV35" s="159"/>
      <c r="JW35" s="159"/>
      <c r="JX35" s="159"/>
      <c r="JY35" s="159"/>
      <c r="JZ35" s="159"/>
      <c r="KA35" s="159"/>
      <c r="KB35" s="159"/>
      <c r="KC35" s="159"/>
      <c r="KD35" s="159"/>
      <c r="KE35" s="159"/>
      <c r="KF35" s="159"/>
      <c r="KG35" s="159"/>
      <c r="KH35" s="159"/>
      <c r="KI35" s="159"/>
      <c r="KJ35" s="159"/>
      <c r="KK35" s="159"/>
      <c r="KL35" s="159"/>
      <c r="KM35" s="159"/>
      <c r="KN35" s="159"/>
      <c r="KO35" s="159"/>
      <c r="KP35" s="159"/>
      <c r="KQ35" s="159"/>
      <c r="KR35" s="159"/>
      <c r="KS35" s="159"/>
      <c r="KT35" s="159"/>
      <c r="KU35" s="159"/>
      <c r="KV35" s="159"/>
      <c r="KW35" s="159"/>
      <c r="KX35" s="159"/>
      <c r="KY35" s="159"/>
      <c r="KZ35" s="159"/>
      <c r="LA35" s="159"/>
      <c r="LB35" s="159"/>
      <c r="LC35" s="159"/>
      <c r="LD35" s="159"/>
      <c r="LE35" s="159"/>
      <c r="LF35" s="159"/>
      <c r="LG35" s="159"/>
      <c r="LH35" s="159"/>
      <c r="LI35" s="159"/>
      <c r="LJ35" s="159"/>
      <c r="LK35" s="159"/>
      <c r="LL35" s="159"/>
      <c r="LM35" s="159"/>
      <c r="LN35" s="159"/>
      <c r="LO35" s="159"/>
      <c r="LP35" s="159"/>
      <c r="LQ35" s="159"/>
      <c r="LR35" s="159"/>
      <c r="LS35" s="159"/>
      <c r="LT35" s="159"/>
      <c r="LU35" s="159"/>
      <c r="LV35" s="159"/>
      <c r="LW35" s="159"/>
      <c r="LX35" s="159"/>
      <c r="LY35" s="159"/>
      <c r="LZ35" s="159"/>
      <c r="MA35" s="159"/>
      <c r="MB35" s="159"/>
      <c r="MC35" s="159"/>
      <c r="MD35" s="159"/>
      <c r="ME35" s="159"/>
      <c r="MF35" s="159"/>
      <c r="MG35" s="159"/>
      <c r="MH35" s="159"/>
    </row>
    <row r="36" spans="1:346" s="160" customFormat="1" ht="13" x14ac:dyDescent="0.2">
      <c r="A36" s="158"/>
      <c r="B36" s="70" t="str">
        <f>"Immediate Tier"</f>
        <v>Immediate Tier</v>
      </c>
      <c r="C36" s="138"/>
      <c r="D36" s="138"/>
      <c r="E36" s="138"/>
      <c r="F36" s="138"/>
      <c r="G36" s="138"/>
      <c r="H36" s="138"/>
      <c r="I36" s="138"/>
      <c r="J36" s="138"/>
      <c r="K36" s="161" t="s">
        <v>273</v>
      </c>
      <c r="L36" s="138"/>
      <c r="M36" s="138"/>
      <c r="N36" s="161" t="s">
        <v>143</v>
      </c>
      <c r="O36" s="138"/>
      <c r="P36" s="138"/>
      <c r="Q36" s="158"/>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c r="IW36" s="159"/>
      <c r="IX36" s="159"/>
      <c r="IY36" s="159"/>
      <c r="IZ36" s="159"/>
      <c r="JA36" s="159"/>
      <c r="JB36" s="159"/>
      <c r="JC36" s="159"/>
      <c r="JD36" s="159"/>
      <c r="JE36" s="159"/>
      <c r="JF36" s="159"/>
      <c r="JG36" s="159"/>
      <c r="JH36" s="159"/>
      <c r="JI36" s="159"/>
      <c r="JJ36" s="159"/>
      <c r="JK36" s="159"/>
      <c r="JL36" s="159"/>
      <c r="JM36" s="159"/>
      <c r="JN36" s="159"/>
      <c r="JO36" s="159"/>
      <c r="JP36" s="159"/>
      <c r="JQ36" s="159"/>
      <c r="JR36" s="159"/>
      <c r="JS36" s="159"/>
      <c r="JT36" s="159"/>
      <c r="JU36" s="159"/>
      <c r="JV36" s="159"/>
      <c r="JW36" s="159"/>
      <c r="JX36" s="159"/>
      <c r="JY36" s="159"/>
      <c r="JZ36" s="159"/>
      <c r="KA36" s="159"/>
      <c r="KB36" s="159"/>
      <c r="KC36" s="159"/>
      <c r="KD36" s="159"/>
      <c r="KE36" s="159"/>
      <c r="KF36" s="159"/>
      <c r="KG36" s="159"/>
      <c r="KH36" s="159"/>
      <c r="KI36" s="159"/>
      <c r="KJ36" s="159"/>
      <c r="KK36" s="159"/>
      <c r="KL36" s="159"/>
      <c r="KM36" s="159"/>
      <c r="KN36" s="159"/>
      <c r="KO36" s="159"/>
      <c r="KP36" s="159"/>
      <c r="KQ36" s="159"/>
      <c r="KR36" s="159"/>
      <c r="KS36" s="159"/>
      <c r="KT36" s="159"/>
      <c r="KU36" s="159"/>
      <c r="KV36" s="159"/>
      <c r="KW36" s="159"/>
      <c r="KX36" s="159"/>
      <c r="KY36" s="159"/>
      <c r="KZ36" s="159"/>
      <c r="LA36" s="159"/>
      <c r="LB36" s="159"/>
      <c r="LC36" s="159"/>
      <c r="LD36" s="159"/>
      <c r="LE36" s="159"/>
      <c r="LF36" s="159"/>
      <c r="LG36" s="159"/>
      <c r="LH36" s="159"/>
      <c r="LI36" s="159"/>
      <c r="LJ36" s="159"/>
      <c r="LK36" s="159"/>
      <c r="LL36" s="159"/>
      <c r="LM36" s="159"/>
      <c r="LN36" s="159"/>
      <c r="LO36" s="159"/>
      <c r="LP36" s="159"/>
      <c r="LQ36" s="159"/>
      <c r="LR36" s="159"/>
      <c r="LS36" s="159"/>
      <c r="LT36" s="159"/>
      <c r="LU36" s="159"/>
      <c r="LV36" s="159"/>
      <c r="LW36" s="159"/>
      <c r="LX36" s="159"/>
      <c r="LY36" s="159"/>
      <c r="LZ36" s="159"/>
      <c r="MA36" s="159"/>
      <c r="MB36" s="159"/>
      <c r="MC36" s="159"/>
      <c r="MD36" s="159"/>
      <c r="ME36" s="159"/>
      <c r="MF36" s="159"/>
      <c r="MG36" s="159"/>
      <c r="MH36" s="159"/>
    </row>
    <row r="37" spans="1:346" s="160" customFormat="1" ht="13" x14ac:dyDescent="0.2">
      <c r="A37" s="158"/>
      <c r="B37" s="69" t="str">
        <f>IF(InputData=TRUE,TEXT('Tiger Input'!C2,"0.00")&amp; " TiB - "&amp;F14,"")</f>
        <v/>
      </c>
      <c r="C37" s="138"/>
      <c r="D37" s="138"/>
      <c r="E37" s="138"/>
      <c r="F37" s="138"/>
      <c r="G37" s="138"/>
      <c r="H37" s="138"/>
      <c r="I37" s="138"/>
      <c r="J37" s="138"/>
      <c r="K37" s="126" t="str">
        <f>IFERROR(IF(InputData=TRUE,AWS_Immediate_Tier_cost/Immediate_Tier_capacity_required,""),0)</f>
        <v/>
      </c>
      <c r="L37" s="126" t="s">
        <v>127</v>
      </c>
      <c r="M37" s="138"/>
      <c r="N37" s="126" t="str">
        <f>IF(InputData=TRUE,AWS_Immediate_Tier_cost,"")</f>
        <v/>
      </c>
      <c r="O37" s="69" t="s">
        <v>127</v>
      </c>
      <c r="P37" s="138"/>
      <c r="Q37" s="158"/>
      <c r="R37" s="159"/>
      <c r="S37" s="159"/>
      <c r="T37" s="159"/>
      <c r="U37" s="159"/>
      <c r="V37" s="159"/>
      <c r="W37" s="159"/>
      <c r="X37" s="159"/>
      <c r="Y37" s="159"/>
      <c r="Z37" s="159"/>
      <c r="AA37" s="159"/>
      <c r="AB37" s="159"/>
      <c r="AC37" s="159"/>
      <c r="AD37" s="159"/>
      <c r="AE37" s="159"/>
      <c r="AF37" s="159"/>
      <c r="AG37" s="159"/>
      <c r="AH37" s="159"/>
      <c r="AI37" s="159"/>
      <c r="AJ37" s="159"/>
      <c r="AK37" s="159"/>
      <c r="AL37" s="159"/>
      <c r="AM37" s="159"/>
      <c r="AN37" s="159"/>
      <c r="AO37" s="159"/>
      <c r="AP37" s="159"/>
      <c r="AQ37" s="159"/>
      <c r="AR37" s="159"/>
      <c r="AS37" s="159"/>
      <c r="AT37" s="159"/>
      <c r="AU37" s="159"/>
      <c r="AV37" s="159"/>
      <c r="AW37" s="159"/>
      <c r="AX37" s="159"/>
      <c r="AY37" s="159"/>
      <c r="AZ37" s="159"/>
      <c r="BA37" s="159"/>
      <c r="BB37" s="159"/>
      <c r="BC37" s="159"/>
      <c r="BD37" s="159"/>
      <c r="BE37" s="159"/>
      <c r="BF37" s="159"/>
      <c r="BG37" s="159"/>
      <c r="BH37" s="159"/>
      <c r="BI37" s="159"/>
      <c r="BJ37" s="159"/>
      <c r="BK37" s="159"/>
      <c r="BL37" s="159"/>
      <c r="BM37" s="159"/>
      <c r="BN37" s="159"/>
      <c r="BO37" s="159"/>
      <c r="BP37" s="159"/>
      <c r="BQ37" s="159"/>
      <c r="BR37" s="159"/>
      <c r="BS37" s="159"/>
      <c r="BT37" s="159"/>
      <c r="BU37" s="159"/>
      <c r="BV37" s="159"/>
      <c r="BW37" s="159"/>
      <c r="BX37" s="159"/>
      <c r="BY37" s="159"/>
      <c r="BZ37" s="159"/>
      <c r="CA37" s="159"/>
      <c r="CB37" s="159"/>
      <c r="CC37" s="159"/>
      <c r="CD37" s="159"/>
      <c r="CE37" s="159"/>
      <c r="CF37" s="159"/>
      <c r="CG37" s="159"/>
      <c r="CH37" s="159"/>
      <c r="CI37" s="159"/>
      <c r="CJ37" s="159"/>
      <c r="CK37" s="159"/>
      <c r="CL37" s="159"/>
      <c r="CM37" s="159"/>
      <c r="CN37" s="159"/>
      <c r="CO37" s="159"/>
      <c r="CP37" s="159"/>
      <c r="CQ37" s="159"/>
      <c r="CR37" s="159"/>
      <c r="CS37" s="159"/>
      <c r="CT37" s="159"/>
      <c r="CU37" s="159"/>
      <c r="CV37" s="159"/>
      <c r="CW37" s="159"/>
      <c r="CX37" s="159"/>
      <c r="CY37" s="159"/>
      <c r="CZ37" s="159"/>
      <c r="DA37" s="159"/>
      <c r="DB37" s="159"/>
      <c r="DC37" s="159"/>
      <c r="DD37" s="159"/>
      <c r="DE37" s="159"/>
      <c r="DF37" s="159"/>
      <c r="DG37" s="159"/>
      <c r="DH37" s="159"/>
      <c r="DI37" s="159"/>
      <c r="DJ37" s="159"/>
      <c r="DK37" s="159"/>
      <c r="DL37" s="159"/>
      <c r="DM37" s="159"/>
      <c r="DN37" s="159"/>
      <c r="DO37" s="159"/>
      <c r="DP37" s="159"/>
      <c r="DQ37" s="159"/>
      <c r="DR37" s="159"/>
      <c r="DS37" s="159"/>
      <c r="DT37" s="159"/>
      <c r="DU37" s="159"/>
      <c r="DV37" s="159"/>
      <c r="DW37" s="159"/>
      <c r="DX37" s="159"/>
      <c r="DY37" s="159"/>
      <c r="DZ37" s="159"/>
      <c r="EA37" s="159"/>
      <c r="EB37" s="159"/>
      <c r="EC37" s="159"/>
      <c r="ED37" s="159"/>
      <c r="EE37" s="159"/>
      <c r="EF37" s="159"/>
      <c r="EG37" s="159"/>
      <c r="EH37" s="159"/>
      <c r="EI37" s="159"/>
      <c r="EJ37" s="159"/>
      <c r="EK37" s="159"/>
      <c r="EL37" s="159"/>
      <c r="EM37" s="159"/>
      <c r="EN37" s="159"/>
      <c r="EO37" s="159"/>
      <c r="EP37" s="159"/>
      <c r="EQ37" s="159"/>
      <c r="ER37" s="159"/>
      <c r="ES37" s="159"/>
      <c r="ET37" s="159"/>
      <c r="EU37" s="159"/>
      <c r="EV37" s="159"/>
      <c r="EW37" s="159"/>
      <c r="EX37" s="159"/>
      <c r="EY37" s="159"/>
      <c r="EZ37" s="159"/>
      <c r="FA37" s="159"/>
      <c r="FB37" s="159"/>
      <c r="FC37" s="159"/>
      <c r="FD37" s="159"/>
      <c r="FE37" s="159"/>
      <c r="FF37" s="159"/>
      <c r="FG37" s="159"/>
      <c r="FH37" s="159"/>
      <c r="FI37" s="159"/>
      <c r="FJ37" s="159"/>
      <c r="FK37" s="159"/>
      <c r="FL37" s="159"/>
      <c r="FM37" s="159"/>
      <c r="FN37" s="159"/>
      <c r="FO37" s="159"/>
      <c r="FP37" s="159"/>
      <c r="FQ37" s="159"/>
      <c r="FR37" s="159"/>
      <c r="FS37" s="159"/>
      <c r="FT37" s="159"/>
      <c r="FU37" s="159"/>
      <c r="FV37" s="159"/>
      <c r="FW37" s="159"/>
      <c r="FX37" s="159"/>
      <c r="FY37" s="159"/>
      <c r="FZ37" s="159"/>
      <c r="GA37" s="159"/>
      <c r="GB37" s="159"/>
      <c r="GC37" s="159"/>
      <c r="GD37" s="159"/>
      <c r="GE37" s="159"/>
      <c r="GF37" s="159"/>
      <c r="GG37" s="159"/>
      <c r="GH37" s="159"/>
      <c r="GI37" s="159"/>
      <c r="GJ37" s="159"/>
      <c r="GK37" s="159"/>
      <c r="GL37" s="159"/>
      <c r="GM37" s="159"/>
      <c r="GN37" s="159"/>
      <c r="GO37" s="159"/>
      <c r="GP37" s="159"/>
      <c r="GQ37" s="159"/>
      <c r="GR37" s="159"/>
      <c r="GS37" s="159"/>
      <c r="GT37" s="159"/>
      <c r="GU37" s="159"/>
      <c r="GV37" s="159"/>
      <c r="GW37" s="159"/>
      <c r="GX37" s="159"/>
      <c r="GY37" s="159"/>
      <c r="GZ37" s="159"/>
      <c r="HA37" s="159"/>
      <c r="HB37" s="159"/>
      <c r="HC37" s="159"/>
      <c r="HD37" s="159"/>
      <c r="HE37" s="159"/>
      <c r="HF37" s="159"/>
      <c r="HG37" s="159"/>
      <c r="HH37" s="159"/>
      <c r="HI37" s="159"/>
      <c r="HJ37" s="159"/>
      <c r="HK37" s="159"/>
      <c r="HL37" s="159"/>
      <c r="HM37" s="159"/>
      <c r="HN37" s="159"/>
      <c r="HO37" s="159"/>
      <c r="HP37" s="159"/>
      <c r="HQ37" s="159"/>
      <c r="HR37" s="159"/>
      <c r="HS37" s="159"/>
      <c r="HT37" s="159"/>
      <c r="HU37" s="159"/>
      <c r="HV37" s="159"/>
      <c r="HW37" s="159"/>
      <c r="HX37" s="159"/>
      <c r="HY37" s="159"/>
      <c r="HZ37" s="159"/>
      <c r="IA37" s="159"/>
      <c r="IB37" s="159"/>
      <c r="IC37" s="159"/>
      <c r="ID37" s="159"/>
      <c r="IE37" s="159"/>
      <c r="IF37" s="159"/>
      <c r="IG37" s="159"/>
      <c r="IH37" s="159"/>
      <c r="II37" s="159"/>
      <c r="IJ37" s="159"/>
      <c r="IK37" s="159"/>
      <c r="IL37" s="159"/>
      <c r="IM37" s="159"/>
      <c r="IN37" s="159"/>
      <c r="IO37" s="159"/>
      <c r="IP37" s="159"/>
      <c r="IQ37" s="159"/>
      <c r="IR37" s="159"/>
      <c r="IS37" s="159"/>
      <c r="IT37" s="159"/>
      <c r="IU37" s="159"/>
      <c r="IV37" s="159"/>
      <c r="IW37" s="159"/>
      <c r="IX37" s="159"/>
      <c r="IY37" s="159"/>
      <c r="IZ37" s="159"/>
      <c r="JA37" s="159"/>
      <c r="JB37" s="159"/>
      <c r="JC37" s="159"/>
      <c r="JD37" s="159"/>
      <c r="JE37" s="159"/>
      <c r="JF37" s="159"/>
      <c r="JG37" s="159"/>
      <c r="JH37" s="159"/>
      <c r="JI37" s="159"/>
      <c r="JJ37" s="159"/>
      <c r="JK37" s="159"/>
      <c r="JL37" s="159"/>
      <c r="JM37" s="159"/>
      <c r="JN37" s="159"/>
      <c r="JO37" s="159"/>
      <c r="JP37" s="159"/>
      <c r="JQ37" s="159"/>
      <c r="JR37" s="159"/>
      <c r="JS37" s="159"/>
      <c r="JT37" s="159"/>
      <c r="JU37" s="159"/>
      <c r="JV37" s="159"/>
      <c r="JW37" s="159"/>
      <c r="JX37" s="159"/>
      <c r="JY37" s="159"/>
      <c r="JZ37" s="159"/>
      <c r="KA37" s="159"/>
      <c r="KB37" s="159"/>
      <c r="KC37" s="159"/>
      <c r="KD37" s="159"/>
      <c r="KE37" s="159"/>
      <c r="KF37" s="159"/>
      <c r="KG37" s="159"/>
      <c r="KH37" s="159"/>
      <c r="KI37" s="159"/>
      <c r="KJ37" s="159"/>
      <c r="KK37" s="159"/>
      <c r="KL37" s="159"/>
      <c r="KM37" s="159"/>
      <c r="KN37" s="159"/>
      <c r="KO37" s="159"/>
      <c r="KP37" s="159"/>
      <c r="KQ37" s="159"/>
      <c r="KR37" s="159"/>
      <c r="KS37" s="159"/>
      <c r="KT37" s="159"/>
      <c r="KU37" s="159"/>
      <c r="KV37" s="159"/>
      <c r="KW37" s="159"/>
      <c r="KX37" s="159"/>
      <c r="KY37" s="159"/>
      <c r="KZ37" s="159"/>
      <c r="LA37" s="159"/>
      <c r="LB37" s="159"/>
      <c r="LC37" s="159"/>
      <c r="LD37" s="159"/>
      <c r="LE37" s="159"/>
      <c r="LF37" s="159"/>
      <c r="LG37" s="159"/>
      <c r="LH37" s="159"/>
      <c r="LI37" s="159"/>
      <c r="LJ37" s="159"/>
      <c r="LK37" s="159"/>
      <c r="LL37" s="159"/>
      <c r="LM37" s="159"/>
      <c r="LN37" s="159"/>
      <c r="LO37" s="159"/>
      <c r="LP37" s="159"/>
      <c r="LQ37" s="159"/>
      <c r="LR37" s="159"/>
      <c r="LS37" s="159"/>
      <c r="LT37" s="159"/>
      <c r="LU37" s="159"/>
      <c r="LV37" s="159"/>
      <c r="LW37" s="159"/>
      <c r="LX37" s="159"/>
      <c r="LY37" s="159"/>
      <c r="LZ37" s="159"/>
      <c r="MA37" s="159"/>
      <c r="MB37" s="159"/>
      <c r="MC37" s="159"/>
      <c r="MD37" s="159"/>
      <c r="ME37" s="159"/>
      <c r="MF37" s="159"/>
      <c r="MG37" s="159"/>
      <c r="MH37" s="159"/>
    </row>
    <row r="38" spans="1:346" s="160" customFormat="1" ht="13" x14ac:dyDescent="0.2">
      <c r="A38" s="158"/>
      <c r="B38" s="70"/>
      <c r="C38" s="138"/>
      <c r="D38" s="138"/>
      <c r="E38" s="138"/>
      <c r="F38" s="138"/>
      <c r="G38" s="138"/>
      <c r="H38" s="138"/>
      <c r="I38" s="138"/>
      <c r="J38" s="138"/>
      <c r="K38" s="138"/>
      <c r="L38" s="138"/>
      <c r="M38" s="138"/>
      <c r="N38" s="138"/>
      <c r="O38" s="138"/>
      <c r="P38" s="138"/>
      <c r="Q38" s="158"/>
      <c r="R38" s="159"/>
      <c r="S38" s="159"/>
      <c r="T38" s="159"/>
      <c r="U38" s="159"/>
      <c r="V38" s="159"/>
      <c r="W38" s="159"/>
      <c r="X38" s="159"/>
      <c r="Y38" s="159"/>
      <c r="Z38" s="159"/>
      <c r="AA38" s="159"/>
      <c r="AB38" s="159"/>
      <c r="AC38" s="159"/>
      <c r="AD38" s="159"/>
      <c r="AE38" s="159"/>
      <c r="AF38" s="159"/>
      <c r="AG38" s="159"/>
      <c r="AH38" s="159"/>
      <c r="AI38" s="159"/>
      <c r="AJ38" s="159"/>
      <c r="AK38" s="159"/>
      <c r="AL38" s="159"/>
      <c r="AM38" s="159"/>
      <c r="AN38" s="159"/>
      <c r="AO38" s="159"/>
      <c r="AP38" s="159"/>
      <c r="AQ38" s="159"/>
      <c r="AR38" s="159"/>
      <c r="AS38" s="159"/>
      <c r="AT38" s="159"/>
      <c r="AU38" s="159"/>
      <c r="AV38" s="159"/>
      <c r="AW38" s="159"/>
      <c r="AX38" s="159"/>
      <c r="AY38" s="159"/>
      <c r="AZ38" s="159"/>
      <c r="BA38" s="159"/>
      <c r="BB38" s="159"/>
      <c r="BC38" s="159"/>
      <c r="BD38" s="159"/>
      <c r="BE38" s="159"/>
      <c r="BF38" s="159"/>
      <c r="BG38" s="159"/>
      <c r="BH38" s="159"/>
      <c r="BI38" s="159"/>
      <c r="BJ38" s="159"/>
      <c r="BK38" s="159"/>
      <c r="BL38" s="159"/>
      <c r="BM38" s="159"/>
      <c r="BN38" s="159"/>
      <c r="BO38" s="159"/>
      <c r="BP38" s="159"/>
      <c r="BQ38" s="159"/>
      <c r="BR38" s="159"/>
      <c r="BS38" s="159"/>
      <c r="BT38" s="159"/>
      <c r="BU38" s="159"/>
      <c r="BV38" s="159"/>
      <c r="BW38" s="159"/>
      <c r="BX38" s="159"/>
      <c r="BY38" s="159"/>
      <c r="BZ38" s="159"/>
      <c r="CA38" s="159"/>
      <c r="CB38" s="159"/>
      <c r="CC38" s="159"/>
      <c r="CD38" s="159"/>
      <c r="CE38" s="159"/>
      <c r="CF38" s="159"/>
      <c r="CG38" s="159"/>
      <c r="CH38" s="159"/>
      <c r="CI38" s="159"/>
      <c r="CJ38" s="159"/>
      <c r="CK38" s="159"/>
      <c r="CL38" s="159"/>
      <c r="CM38" s="159"/>
      <c r="CN38" s="159"/>
      <c r="CO38" s="159"/>
      <c r="CP38" s="159"/>
      <c r="CQ38" s="159"/>
      <c r="CR38" s="159"/>
      <c r="CS38" s="159"/>
      <c r="CT38" s="159"/>
      <c r="CU38" s="159"/>
      <c r="CV38" s="159"/>
      <c r="CW38" s="159"/>
      <c r="CX38" s="159"/>
      <c r="CY38" s="159"/>
      <c r="CZ38" s="159"/>
      <c r="DA38" s="159"/>
      <c r="DB38" s="159"/>
      <c r="DC38" s="159"/>
      <c r="DD38" s="159"/>
      <c r="DE38" s="159"/>
      <c r="DF38" s="159"/>
      <c r="DG38" s="159"/>
      <c r="DH38" s="159"/>
      <c r="DI38" s="159"/>
      <c r="DJ38" s="159"/>
      <c r="DK38" s="159"/>
      <c r="DL38" s="159"/>
      <c r="DM38" s="159"/>
      <c r="DN38" s="159"/>
      <c r="DO38" s="159"/>
      <c r="DP38" s="159"/>
      <c r="DQ38" s="159"/>
      <c r="DR38" s="159"/>
      <c r="DS38" s="159"/>
      <c r="DT38" s="159"/>
      <c r="DU38" s="159"/>
      <c r="DV38" s="159"/>
      <c r="DW38" s="159"/>
      <c r="DX38" s="159"/>
      <c r="DY38" s="159"/>
      <c r="DZ38" s="159"/>
      <c r="EA38" s="159"/>
      <c r="EB38" s="159"/>
      <c r="EC38" s="159"/>
      <c r="ED38" s="159"/>
      <c r="EE38" s="159"/>
      <c r="EF38" s="159"/>
      <c r="EG38" s="159"/>
      <c r="EH38" s="159"/>
      <c r="EI38" s="159"/>
      <c r="EJ38" s="159"/>
      <c r="EK38" s="159"/>
      <c r="EL38" s="159"/>
      <c r="EM38" s="159"/>
      <c r="EN38" s="159"/>
      <c r="EO38" s="159"/>
      <c r="EP38" s="159"/>
      <c r="EQ38" s="159"/>
      <c r="ER38" s="159"/>
      <c r="ES38" s="159"/>
      <c r="ET38" s="159"/>
      <c r="EU38" s="159"/>
      <c r="EV38" s="159"/>
      <c r="EW38" s="159"/>
      <c r="EX38" s="159"/>
      <c r="EY38" s="159"/>
      <c r="EZ38" s="159"/>
      <c r="FA38" s="159"/>
      <c r="FB38" s="159"/>
      <c r="FC38" s="159"/>
      <c r="FD38" s="159"/>
      <c r="FE38" s="159"/>
      <c r="FF38" s="159"/>
      <c r="FG38" s="159"/>
      <c r="FH38" s="159"/>
      <c r="FI38" s="159"/>
      <c r="FJ38" s="159"/>
      <c r="FK38" s="159"/>
      <c r="FL38" s="159"/>
      <c r="FM38" s="159"/>
      <c r="FN38" s="159"/>
      <c r="FO38" s="159"/>
      <c r="FP38" s="159"/>
      <c r="FQ38" s="159"/>
      <c r="FR38" s="159"/>
      <c r="FS38" s="159"/>
      <c r="FT38" s="159"/>
      <c r="FU38" s="159"/>
      <c r="FV38" s="159"/>
      <c r="FW38" s="159"/>
      <c r="FX38" s="159"/>
      <c r="FY38" s="159"/>
      <c r="FZ38" s="159"/>
      <c r="GA38" s="159"/>
      <c r="GB38" s="159"/>
      <c r="GC38" s="159"/>
      <c r="GD38" s="159"/>
      <c r="GE38" s="159"/>
      <c r="GF38" s="159"/>
      <c r="GG38" s="159"/>
      <c r="GH38" s="159"/>
      <c r="GI38" s="159"/>
      <c r="GJ38" s="159"/>
      <c r="GK38" s="159"/>
      <c r="GL38" s="159"/>
      <c r="GM38" s="159"/>
      <c r="GN38" s="159"/>
      <c r="GO38" s="159"/>
      <c r="GP38" s="159"/>
      <c r="GQ38" s="159"/>
      <c r="GR38" s="159"/>
      <c r="GS38" s="159"/>
      <c r="GT38" s="159"/>
      <c r="GU38" s="159"/>
      <c r="GV38" s="159"/>
      <c r="GW38" s="159"/>
      <c r="GX38" s="159"/>
      <c r="GY38" s="159"/>
      <c r="GZ38" s="159"/>
      <c r="HA38" s="159"/>
      <c r="HB38" s="159"/>
      <c r="HC38" s="159"/>
      <c r="HD38" s="159"/>
      <c r="HE38" s="159"/>
      <c r="HF38" s="159"/>
      <c r="HG38" s="159"/>
      <c r="HH38" s="159"/>
      <c r="HI38" s="159"/>
      <c r="HJ38" s="159"/>
      <c r="HK38" s="159"/>
      <c r="HL38" s="159"/>
      <c r="HM38" s="159"/>
      <c r="HN38" s="159"/>
      <c r="HO38" s="159"/>
      <c r="HP38" s="159"/>
      <c r="HQ38" s="159"/>
      <c r="HR38" s="159"/>
      <c r="HS38" s="159"/>
      <c r="HT38" s="159"/>
      <c r="HU38" s="159"/>
      <c r="HV38" s="159"/>
      <c r="HW38" s="159"/>
      <c r="HX38" s="159"/>
      <c r="HY38" s="159"/>
      <c r="HZ38" s="159"/>
      <c r="IA38" s="159"/>
      <c r="IB38" s="159"/>
      <c r="IC38" s="159"/>
      <c r="ID38" s="159"/>
      <c r="IE38" s="159"/>
      <c r="IF38" s="159"/>
      <c r="IG38" s="159"/>
      <c r="IH38" s="159"/>
      <c r="II38" s="159"/>
      <c r="IJ38" s="159"/>
      <c r="IK38" s="159"/>
      <c r="IL38" s="159"/>
      <c r="IM38" s="159"/>
      <c r="IN38" s="159"/>
      <c r="IO38" s="159"/>
      <c r="IP38" s="159"/>
      <c r="IQ38" s="159"/>
      <c r="IR38" s="159"/>
      <c r="IS38" s="159"/>
      <c r="IT38" s="159"/>
      <c r="IU38" s="159"/>
      <c r="IV38" s="159"/>
      <c r="IW38" s="159"/>
      <c r="IX38" s="159"/>
      <c r="IY38" s="159"/>
      <c r="IZ38" s="159"/>
      <c r="JA38" s="159"/>
      <c r="JB38" s="159"/>
      <c r="JC38" s="159"/>
      <c r="JD38" s="159"/>
      <c r="JE38" s="159"/>
      <c r="JF38" s="159"/>
      <c r="JG38" s="159"/>
      <c r="JH38" s="159"/>
      <c r="JI38" s="159"/>
      <c r="JJ38" s="159"/>
      <c r="JK38" s="159"/>
      <c r="JL38" s="159"/>
      <c r="JM38" s="159"/>
      <c r="JN38" s="159"/>
      <c r="JO38" s="159"/>
      <c r="JP38" s="159"/>
      <c r="JQ38" s="159"/>
      <c r="JR38" s="159"/>
      <c r="JS38" s="159"/>
      <c r="JT38" s="159"/>
      <c r="JU38" s="159"/>
      <c r="JV38" s="159"/>
      <c r="JW38" s="159"/>
      <c r="JX38" s="159"/>
      <c r="JY38" s="159"/>
      <c r="JZ38" s="159"/>
      <c r="KA38" s="159"/>
      <c r="KB38" s="159"/>
      <c r="KC38" s="159"/>
      <c r="KD38" s="159"/>
      <c r="KE38" s="159"/>
      <c r="KF38" s="159"/>
      <c r="KG38" s="159"/>
      <c r="KH38" s="159"/>
      <c r="KI38" s="159"/>
      <c r="KJ38" s="159"/>
      <c r="KK38" s="159"/>
      <c r="KL38" s="159"/>
      <c r="KM38" s="159"/>
      <c r="KN38" s="159"/>
      <c r="KO38" s="159"/>
      <c r="KP38" s="159"/>
      <c r="KQ38" s="159"/>
      <c r="KR38" s="159"/>
      <c r="KS38" s="159"/>
      <c r="KT38" s="159"/>
      <c r="KU38" s="159"/>
      <c r="KV38" s="159"/>
      <c r="KW38" s="159"/>
      <c r="KX38" s="159"/>
      <c r="KY38" s="159"/>
      <c r="KZ38" s="159"/>
      <c r="LA38" s="159"/>
      <c r="LB38" s="159"/>
      <c r="LC38" s="159"/>
      <c r="LD38" s="159"/>
      <c r="LE38" s="159"/>
      <c r="LF38" s="159"/>
      <c r="LG38" s="159"/>
      <c r="LH38" s="159"/>
      <c r="LI38" s="159"/>
      <c r="LJ38" s="159"/>
      <c r="LK38" s="159"/>
      <c r="LL38" s="159"/>
      <c r="LM38" s="159"/>
      <c r="LN38" s="159"/>
      <c r="LO38" s="159"/>
      <c r="LP38" s="159"/>
      <c r="LQ38" s="159"/>
      <c r="LR38" s="159"/>
      <c r="LS38" s="159"/>
      <c r="LT38" s="159"/>
      <c r="LU38" s="159"/>
      <c r="LV38" s="159"/>
      <c r="LW38" s="159"/>
      <c r="LX38" s="159"/>
      <c r="LY38" s="159"/>
      <c r="LZ38" s="159"/>
      <c r="MA38" s="159"/>
      <c r="MB38" s="159"/>
      <c r="MC38" s="159"/>
      <c r="MD38" s="159"/>
      <c r="ME38" s="159"/>
      <c r="MF38" s="159"/>
      <c r="MG38" s="159"/>
      <c r="MH38" s="159"/>
    </row>
    <row r="39" spans="1:346" s="160" customFormat="1" ht="13" x14ac:dyDescent="0.2">
      <c r="A39" s="158"/>
      <c r="B39" s="70" t="str">
        <f>"Archive Tier "</f>
        <v xml:space="preserve">Archive Tier </v>
      </c>
      <c r="C39" s="138"/>
      <c r="D39" s="138"/>
      <c r="E39" s="138"/>
      <c r="F39" s="138"/>
      <c r="G39" s="138"/>
      <c r="H39" s="138"/>
      <c r="I39" s="138"/>
      <c r="J39" s="138"/>
      <c r="K39" s="138"/>
      <c r="L39" s="138"/>
      <c r="M39" s="138"/>
      <c r="N39" s="138"/>
      <c r="O39" s="138"/>
      <c r="P39" s="138"/>
      <c r="Q39" s="158"/>
      <c r="R39" s="159"/>
      <c r="S39" s="159"/>
      <c r="T39" s="159"/>
      <c r="U39" s="159"/>
      <c r="V39" s="159"/>
      <c r="W39" s="159"/>
      <c r="X39" s="159"/>
      <c r="Y39" s="159"/>
      <c r="Z39" s="159"/>
      <c r="AA39" s="159"/>
      <c r="AB39" s="159"/>
      <c r="AC39" s="159"/>
      <c r="AD39" s="159"/>
      <c r="AE39" s="159"/>
      <c r="AF39" s="159"/>
      <c r="AG39" s="159"/>
      <c r="AH39" s="159"/>
      <c r="AI39" s="159"/>
      <c r="AJ39" s="159"/>
      <c r="AK39" s="159"/>
      <c r="AL39" s="159"/>
      <c r="AM39" s="159"/>
      <c r="AN39" s="159"/>
      <c r="AO39" s="159"/>
      <c r="AP39" s="159"/>
      <c r="AQ39" s="159"/>
      <c r="AR39" s="159"/>
      <c r="AS39" s="159"/>
      <c r="AT39" s="159"/>
      <c r="AU39" s="159"/>
      <c r="AV39" s="159"/>
      <c r="AW39" s="159"/>
      <c r="AX39" s="159"/>
      <c r="AY39" s="159"/>
      <c r="AZ39" s="159"/>
      <c r="BA39" s="159"/>
      <c r="BB39" s="159"/>
      <c r="BC39" s="159"/>
      <c r="BD39" s="159"/>
      <c r="BE39" s="159"/>
      <c r="BF39" s="159"/>
      <c r="BG39" s="159"/>
      <c r="BH39" s="159"/>
      <c r="BI39" s="159"/>
      <c r="BJ39" s="159"/>
      <c r="BK39" s="159"/>
      <c r="BL39" s="159"/>
      <c r="BM39" s="159"/>
      <c r="BN39" s="159"/>
      <c r="BO39" s="159"/>
      <c r="BP39" s="159"/>
      <c r="BQ39" s="159"/>
      <c r="BR39" s="159"/>
      <c r="BS39" s="159"/>
      <c r="BT39" s="159"/>
      <c r="BU39" s="159"/>
      <c r="BV39" s="159"/>
      <c r="BW39" s="159"/>
      <c r="BX39" s="159"/>
      <c r="BY39" s="159"/>
      <c r="BZ39" s="159"/>
      <c r="CA39" s="159"/>
      <c r="CB39" s="159"/>
      <c r="CC39" s="159"/>
      <c r="CD39" s="159"/>
      <c r="CE39" s="159"/>
      <c r="CF39" s="159"/>
      <c r="CG39" s="159"/>
      <c r="CH39" s="159"/>
      <c r="CI39" s="159"/>
      <c r="CJ39" s="159"/>
      <c r="CK39" s="159"/>
      <c r="CL39" s="159"/>
      <c r="CM39" s="159"/>
      <c r="CN39" s="159"/>
      <c r="CO39" s="159"/>
      <c r="CP39" s="159"/>
      <c r="CQ39" s="159"/>
      <c r="CR39" s="159"/>
      <c r="CS39" s="159"/>
      <c r="CT39" s="159"/>
      <c r="CU39" s="159"/>
      <c r="CV39" s="159"/>
      <c r="CW39" s="159"/>
      <c r="CX39" s="159"/>
      <c r="CY39" s="159"/>
      <c r="CZ39" s="159"/>
      <c r="DA39" s="159"/>
      <c r="DB39" s="159"/>
      <c r="DC39" s="159"/>
      <c r="DD39" s="159"/>
      <c r="DE39" s="159"/>
      <c r="DF39" s="159"/>
      <c r="DG39" s="159"/>
      <c r="DH39" s="159"/>
      <c r="DI39" s="159"/>
      <c r="DJ39" s="159"/>
      <c r="DK39" s="159"/>
      <c r="DL39" s="159"/>
      <c r="DM39" s="159"/>
      <c r="DN39" s="159"/>
      <c r="DO39" s="159"/>
      <c r="DP39" s="159"/>
      <c r="DQ39" s="159"/>
      <c r="DR39" s="159"/>
      <c r="DS39" s="159"/>
      <c r="DT39" s="159"/>
      <c r="DU39" s="159"/>
      <c r="DV39" s="159"/>
      <c r="DW39" s="159"/>
      <c r="DX39" s="159"/>
      <c r="DY39" s="159"/>
      <c r="DZ39" s="159"/>
      <c r="EA39" s="159"/>
      <c r="EB39" s="159"/>
      <c r="EC39" s="159"/>
      <c r="ED39" s="159"/>
      <c r="EE39" s="159"/>
      <c r="EF39" s="159"/>
      <c r="EG39" s="159"/>
      <c r="EH39" s="159"/>
      <c r="EI39" s="159"/>
      <c r="EJ39" s="159"/>
      <c r="EK39" s="159"/>
      <c r="EL39" s="159"/>
      <c r="EM39" s="159"/>
      <c r="EN39" s="159"/>
      <c r="EO39" s="159"/>
      <c r="EP39" s="159"/>
      <c r="EQ39" s="159"/>
      <c r="ER39" s="159"/>
      <c r="ES39" s="159"/>
      <c r="ET39" s="159"/>
      <c r="EU39" s="159"/>
      <c r="EV39" s="159"/>
      <c r="EW39" s="159"/>
      <c r="EX39" s="159"/>
      <c r="EY39" s="159"/>
      <c r="EZ39" s="159"/>
      <c r="FA39" s="159"/>
      <c r="FB39" s="159"/>
      <c r="FC39" s="159"/>
      <c r="FD39" s="159"/>
      <c r="FE39" s="159"/>
      <c r="FF39" s="159"/>
      <c r="FG39" s="159"/>
      <c r="FH39" s="159"/>
      <c r="FI39" s="159"/>
      <c r="FJ39" s="159"/>
      <c r="FK39" s="159"/>
      <c r="FL39" s="159"/>
      <c r="FM39" s="159"/>
      <c r="FN39" s="159"/>
      <c r="FO39" s="159"/>
      <c r="FP39" s="159"/>
      <c r="FQ39" s="159"/>
      <c r="FR39" s="159"/>
      <c r="FS39" s="159"/>
      <c r="FT39" s="159"/>
      <c r="FU39" s="159"/>
      <c r="FV39" s="159"/>
      <c r="FW39" s="159"/>
      <c r="FX39" s="159"/>
      <c r="FY39" s="159"/>
      <c r="FZ39" s="159"/>
      <c r="GA39" s="159"/>
      <c r="GB39" s="159"/>
      <c r="GC39" s="159"/>
      <c r="GD39" s="159"/>
      <c r="GE39" s="159"/>
      <c r="GF39" s="159"/>
      <c r="GG39" s="159"/>
      <c r="GH39" s="159"/>
      <c r="GI39" s="159"/>
      <c r="GJ39" s="159"/>
      <c r="GK39" s="159"/>
      <c r="GL39" s="159"/>
      <c r="GM39" s="159"/>
      <c r="GN39" s="159"/>
      <c r="GO39" s="159"/>
      <c r="GP39" s="159"/>
      <c r="GQ39" s="159"/>
      <c r="GR39" s="159"/>
      <c r="GS39" s="159"/>
      <c r="GT39" s="159"/>
      <c r="GU39" s="159"/>
      <c r="GV39" s="159"/>
      <c r="GW39" s="159"/>
      <c r="GX39" s="159"/>
      <c r="GY39" s="159"/>
      <c r="GZ39" s="159"/>
      <c r="HA39" s="159"/>
      <c r="HB39" s="159"/>
      <c r="HC39" s="159"/>
      <c r="HD39" s="159"/>
      <c r="HE39" s="159"/>
      <c r="HF39" s="159"/>
      <c r="HG39" s="159"/>
      <c r="HH39" s="159"/>
      <c r="HI39" s="159"/>
      <c r="HJ39" s="159"/>
      <c r="HK39" s="159"/>
      <c r="HL39" s="159"/>
      <c r="HM39" s="159"/>
      <c r="HN39" s="159"/>
      <c r="HO39" s="159"/>
      <c r="HP39" s="159"/>
      <c r="HQ39" s="159"/>
      <c r="HR39" s="159"/>
      <c r="HS39" s="159"/>
      <c r="HT39" s="159"/>
      <c r="HU39" s="159"/>
      <c r="HV39" s="159"/>
      <c r="HW39" s="159"/>
      <c r="HX39" s="159"/>
      <c r="HY39" s="159"/>
      <c r="HZ39" s="159"/>
      <c r="IA39" s="159"/>
      <c r="IB39" s="159"/>
      <c r="IC39" s="159"/>
      <c r="ID39" s="159"/>
      <c r="IE39" s="159"/>
      <c r="IF39" s="159"/>
      <c r="IG39" s="159"/>
      <c r="IH39" s="159"/>
      <c r="II39" s="159"/>
      <c r="IJ39" s="159"/>
      <c r="IK39" s="159"/>
      <c r="IL39" s="159"/>
      <c r="IM39" s="159"/>
      <c r="IN39" s="159"/>
      <c r="IO39" s="159"/>
      <c r="IP39" s="159"/>
      <c r="IQ39" s="159"/>
      <c r="IR39" s="159"/>
      <c r="IS39" s="159"/>
      <c r="IT39" s="159"/>
      <c r="IU39" s="159"/>
      <c r="IV39" s="159"/>
      <c r="IW39" s="159"/>
      <c r="IX39" s="159"/>
      <c r="IY39" s="159"/>
      <c r="IZ39" s="159"/>
      <c r="JA39" s="159"/>
      <c r="JB39" s="159"/>
      <c r="JC39" s="159"/>
      <c r="JD39" s="159"/>
      <c r="JE39" s="159"/>
      <c r="JF39" s="159"/>
      <c r="JG39" s="159"/>
      <c r="JH39" s="159"/>
      <c r="JI39" s="159"/>
      <c r="JJ39" s="159"/>
      <c r="JK39" s="159"/>
      <c r="JL39" s="159"/>
      <c r="JM39" s="159"/>
      <c r="JN39" s="159"/>
      <c r="JO39" s="159"/>
      <c r="JP39" s="159"/>
      <c r="JQ39" s="159"/>
      <c r="JR39" s="159"/>
      <c r="JS39" s="159"/>
      <c r="JT39" s="159"/>
      <c r="JU39" s="159"/>
      <c r="JV39" s="159"/>
      <c r="JW39" s="159"/>
      <c r="JX39" s="159"/>
      <c r="JY39" s="159"/>
      <c r="JZ39" s="159"/>
      <c r="KA39" s="159"/>
      <c r="KB39" s="159"/>
      <c r="KC39" s="159"/>
      <c r="KD39" s="159"/>
      <c r="KE39" s="159"/>
      <c r="KF39" s="159"/>
      <c r="KG39" s="159"/>
      <c r="KH39" s="159"/>
      <c r="KI39" s="159"/>
      <c r="KJ39" s="159"/>
      <c r="KK39" s="159"/>
      <c r="KL39" s="159"/>
      <c r="KM39" s="159"/>
      <c r="KN39" s="159"/>
      <c r="KO39" s="159"/>
      <c r="KP39" s="159"/>
      <c r="KQ39" s="159"/>
      <c r="KR39" s="159"/>
      <c r="KS39" s="159"/>
      <c r="KT39" s="159"/>
      <c r="KU39" s="159"/>
      <c r="KV39" s="159"/>
      <c r="KW39" s="159"/>
      <c r="KX39" s="159"/>
      <c r="KY39" s="159"/>
      <c r="KZ39" s="159"/>
      <c r="LA39" s="159"/>
      <c r="LB39" s="159"/>
      <c r="LC39" s="159"/>
      <c r="LD39" s="159"/>
      <c r="LE39" s="159"/>
      <c r="LF39" s="159"/>
      <c r="LG39" s="159"/>
      <c r="LH39" s="159"/>
      <c r="LI39" s="159"/>
      <c r="LJ39" s="159"/>
      <c r="LK39" s="159"/>
      <c r="LL39" s="159"/>
      <c r="LM39" s="159"/>
      <c r="LN39" s="159"/>
      <c r="LO39" s="159"/>
      <c r="LP39" s="159"/>
      <c r="LQ39" s="159"/>
      <c r="LR39" s="159"/>
      <c r="LS39" s="159"/>
      <c r="LT39" s="159"/>
      <c r="LU39" s="159"/>
      <c r="LV39" s="159"/>
      <c r="LW39" s="159"/>
      <c r="LX39" s="159"/>
      <c r="LY39" s="159"/>
      <c r="LZ39" s="159"/>
      <c r="MA39" s="159"/>
      <c r="MB39" s="159"/>
      <c r="MC39" s="159"/>
      <c r="MD39" s="159"/>
      <c r="ME39" s="159"/>
      <c r="MF39" s="159"/>
      <c r="MG39" s="159"/>
      <c r="MH39" s="159"/>
    </row>
    <row r="40" spans="1:346" s="160" customFormat="1" ht="13" x14ac:dyDescent="0.2">
      <c r="A40" s="158"/>
      <c r="B40" s="69" t="str">
        <f>IF(InputData=TRUE,TEXT('Tiger Input'!C3,"0.00")&amp; " TiB "&amp;F17,"")</f>
        <v/>
      </c>
      <c r="C40" s="138"/>
      <c r="D40" s="138"/>
      <c r="E40" s="138"/>
      <c r="F40" s="138"/>
      <c r="G40" s="138"/>
      <c r="H40" s="138"/>
      <c r="I40" s="138"/>
      <c r="J40" s="138"/>
      <c r="K40" s="126" t="str">
        <f>IFERROR(IF(InputData=TRUE,AWS_Archive_Tier_cost/Archive_Tier_capacity_required,""),0)</f>
        <v/>
      </c>
      <c r="L40" s="126" t="s">
        <v>127</v>
      </c>
      <c r="M40" s="138"/>
      <c r="N40" s="126" t="str">
        <f>IF(InputData=TRUE,AWS_Archive_Tier_cost,"")</f>
        <v/>
      </c>
      <c r="O40" s="69" t="s">
        <v>127</v>
      </c>
      <c r="P40" s="138"/>
      <c r="Q40" s="158"/>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c r="IW40" s="159"/>
      <c r="IX40" s="159"/>
      <c r="IY40" s="159"/>
      <c r="IZ40" s="159"/>
      <c r="JA40" s="159"/>
      <c r="JB40" s="159"/>
      <c r="JC40" s="159"/>
      <c r="JD40" s="159"/>
      <c r="JE40" s="159"/>
      <c r="JF40" s="159"/>
      <c r="JG40" s="159"/>
      <c r="JH40" s="159"/>
      <c r="JI40" s="159"/>
      <c r="JJ40" s="159"/>
      <c r="JK40" s="159"/>
      <c r="JL40" s="159"/>
      <c r="JM40" s="159"/>
      <c r="JN40" s="159"/>
      <c r="JO40" s="159"/>
      <c r="JP40" s="159"/>
      <c r="JQ40" s="159"/>
      <c r="JR40" s="159"/>
      <c r="JS40" s="159"/>
      <c r="JT40" s="159"/>
      <c r="JU40" s="159"/>
      <c r="JV40" s="159"/>
      <c r="JW40" s="159"/>
      <c r="JX40" s="159"/>
      <c r="JY40" s="159"/>
      <c r="JZ40" s="159"/>
      <c r="KA40" s="159"/>
      <c r="KB40" s="159"/>
      <c r="KC40" s="159"/>
      <c r="KD40" s="159"/>
      <c r="KE40" s="159"/>
      <c r="KF40" s="159"/>
      <c r="KG40" s="159"/>
      <c r="KH40" s="159"/>
      <c r="KI40" s="159"/>
      <c r="KJ40" s="159"/>
      <c r="KK40" s="159"/>
      <c r="KL40" s="159"/>
      <c r="KM40" s="159"/>
      <c r="KN40" s="159"/>
      <c r="KO40" s="159"/>
      <c r="KP40" s="159"/>
      <c r="KQ40" s="159"/>
      <c r="KR40" s="159"/>
      <c r="KS40" s="159"/>
      <c r="KT40" s="159"/>
      <c r="KU40" s="159"/>
      <c r="KV40" s="159"/>
      <c r="KW40" s="159"/>
      <c r="KX40" s="159"/>
      <c r="KY40" s="159"/>
      <c r="KZ40" s="159"/>
      <c r="LA40" s="159"/>
      <c r="LB40" s="159"/>
      <c r="LC40" s="159"/>
      <c r="LD40" s="159"/>
      <c r="LE40" s="159"/>
      <c r="LF40" s="159"/>
      <c r="LG40" s="159"/>
      <c r="LH40" s="159"/>
      <c r="LI40" s="159"/>
      <c r="LJ40" s="159"/>
      <c r="LK40" s="159"/>
      <c r="LL40" s="159"/>
      <c r="LM40" s="159"/>
      <c r="LN40" s="159"/>
      <c r="LO40" s="159"/>
      <c r="LP40" s="159"/>
      <c r="LQ40" s="159"/>
      <c r="LR40" s="159"/>
      <c r="LS40" s="159"/>
      <c r="LT40" s="159"/>
      <c r="LU40" s="159"/>
      <c r="LV40" s="159"/>
      <c r="LW40" s="159"/>
      <c r="LX40" s="159"/>
      <c r="LY40" s="159"/>
      <c r="LZ40" s="159"/>
      <c r="MA40" s="159"/>
      <c r="MB40" s="159"/>
      <c r="MC40" s="159"/>
      <c r="MD40" s="159"/>
      <c r="ME40" s="159"/>
      <c r="MF40" s="159"/>
      <c r="MG40" s="159"/>
      <c r="MH40" s="159"/>
    </row>
    <row r="41" spans="1:346" s="160" customFormat="1" ht="13" x14ac:dyDescent="0.2">
      <c r="A41" s="158"/>
      <c r="B41" s="70"/>
      <c r="C41" s="138"/>
      <c r="D41" s="138"/>
      <c r="E41" s="138"/>
      <c r="F41" s="138"/>
      <c r="G41" s="138"/>
      <c r="H41" s="138"/>
      <c r="I41" s="138"/>
      <c r="J41" s="138"/>
      <c r="K41" s="126"/>
      <c r="L41" s="126"/>
      <c r="M41" s="138"/>
      <c r="N41" s="138"/>
      <c r="O41" s="138"/>
      <c r="P41" s="138"/>
      <c r="Q41" s="158"/>
      <c r="R41" s="159"/>
      <c r="S41" s="159"/>
      <c r="T41" s="159"/>
      <c r="U41" s="159"/>
      <c r="V41" s="159"/>
      <c r="W41" s="159"/>
      <c r="X41" s="159"/>
      <c r="Y41" s="159"/>
      <c r="Z41" s="159"/>
      <c r="AA41" s="159"/>
      <c r="AB41" s="159"/>
      <c r="AC41" s="159"/>
      <c r="AD41" s="159"/>
      <c r="AE41" s="159"/>
      <c r="AF41" s="159"/>
      <c r="AG41" s="159"/>
      <c r="AH41" s="159"/>
      <c r="AI41" s="159"/>
      <c r="AJ41" s="159"/>
      <c r="AK41" s="159"/>
      <c r="AL41" s="159"/>
      <c r="AM41" s="159"/>
      <c r="AN41" s="159"/>
      <c r="AO41" s="159"/>
      <c r="AP41" s="159"/>
      <c r="AQ41" s="159"/>
      <c r="AR41" s="159"/>
      <c r="AS41" s="159"/>
      <c r="AT41" s="159"/>
      <c r="AU41" s="159"/>
      <c r="AV41" s="159"/>
      <c r="AW41" s="159"/>
      <c r="AX41" s="159"/>
      <c r="AY41" s="159"/>
      <c r="AZ41" s="159"/>
      <c r="BA41" s="159"/>
      <c r="BB41" s="159"/>
      <c r="BC41" s="159"/>
      <c r="BD41" s="159"/>
      <c r="BE41" s="159"/>
      <c r="BF41" s="159"/>
      <c r="BG41" s="159"/>
      <c r="BH41" s="159"/>
      <c r="BI41" s="159"/>
      <c r="BJ41" s="159"/>
      <c r="BK41" s="159"/>
      <c r="BL41" s="159"/>
      <c r="BM41" s="159"/>
      <c r="BN41" s="159"/>
      <c r="BO41" s="159"/>
      <c r="BP41" s="159"/>
      <c r="BQ41" s="159"/>
      <c r="BR41" s="159"/>
      <c r="BS41" s="159"/>
      <c r="BT41" s="159"/>
      <c r="BU41" s="159"/>
      <c r="BV41" s="159"/>
      <c r="BW41" s="159"/>
      <c r="BX41" s="159"/>
      <c r="BY41" s="159"/>
      <c r="BZ41" s="159"/>
      <c r="CA41" s="159"/>
      <c r="CB41" s="159"/>
      <c r="CC41" s="159"/>
      <c r="CD41" s="159"/>
      <c r="CE41" s="159"/>
      <c r="CF41" s="159"/>
      <c r="CG41" s="159"/>
      <c r="CH41" s="159"/>
      <c r="CI41" s="159"/>
      <c r="CJ41" s="159"/>
      <c r="CK41" s="159"/>
      <c r="CL41" s="159"/>
      <c r="CM41" s="159"/>
      <c r="CN41" s="159"/>
      <c r="CO41" s="159"/>
      <c r="CP41" s="159"/>
      <c r="CQ41" s="159"/>
      <c r="CR41" s="159"/>
      <c r="CS41" s="159"/>
      <c r="CT41" s="159"/>
      <c r="CU41" s="159"/>
      <c r="CV41" s="159"/>
      <c r="CW41" s="159"/>
      <c r="CX41" s="159"/>
      <c r="CY41" s="159"/>
      <c r="CZ41" s="159"/>
      <c r="DA41" s="159"/>
      <c r="DB41" s="159"/>
      <c r="DC41" s="159"/>
      <c r="DD41" s="159"/>
      <c r="DE41" s="159"/>
      <c r="DF41" s="159"/>
      <c r="DG41" s="159"/>
      <c r="DH41" s="159"/>
      <c r="DI41" s="159"/>
      <c r="DJ41" s="159"/>
      <c r="DK41" s="159"/>
      <c r="DL41" s="159"/>
      <c r="DM41" s="159"/>
      <c r="DN41" s="159"/>
      <c r="DO41" s="159"/>
      <c r="DP41" s="159"/>
      <c r="DQ41" s="159"/>
      <c r="DR41" s="159"/>
      <c r="DS41" s="159"/>
      <c r="DT41" s="159"/>
      <c r="DU41" s="159"/>
      <c r="DV41" s="159"/>
      <c r="DW41" s="159"/>
      <c r="DX41" s="159"/>
      <c r="DY41" s="159"/>
      <c r="DZ41" s="159"/>
      <c r="EA41" s="159"/>
      <c r="EB41" s="159"/>
      <c r="EC41" s="159"/>
      <c r="ED41" s="159"/>
      <c r="EE41" s="159"/>
      <c r="EF41" s="159"/>
      <c r="EG41" s="159"/>
      <c r="EH41" s="159"/>
      <c r="EI41" s="159"/>
      <c r="EJ41" s="159"/>
      <c r="EK41" s="159"/>
      <c r="EL41" s="159"/>
      <c r="EM41" s="159"/>
      <c r="EN41" s="159"/>
      <c r="EO41" s="159"/>
      <c r="EP41" s="159"/>
      <c r="EQ41" s="159"/>
      <c r="ER41" s="159"/>
      <c r="ES41" s="159"/>
      <c r="ET41" s="159"/>
      <c r="EU41" s="159"/>
      <c r="EV41" s="159"/>
      <c r="EW41" s="159"/>
      <c r="EX41" s="159"/>
      <c r="EY41" s="159"/>
      <c r="EZ41" s="159"/>
      <c r="FA41" s="159"/>
      <c r="FB41" s="159"/>
      <c r="FC41" s="159"/>
      <c r="FD41" s="159"/>
      <c r="FE41" s="159"/>
      <c r="FF41" s="159"/>
      <c r="FG41" s="159"/>
      <c r="FH41" s="159"/>
      <c r="FI41" s="159"/>
      <c r="FJ41" s="159"/>
      <c r="FK41" s="159"/>
      <c r="FL41" s="159"/>
      <c r="FM41" s="159"/>
      <c r="FN41" s="159"/>
      <c r="FO41" s="159"/>
      <c r="FP41" s="159"/>
      <c r="FQ41" s="159"/>
      <c r="FR41" s="159"/>
      <c r="FS41" s="159"/>
      <c r="FT41" s="159"/>
      <c r="FU41" s="159"/>
      <c r="FV41" s="159"/>
      <c r="FW41" s="159"/>
      <c r="FX41" s="159"/>
      <c r="FY41" s="159"/>
      <c r="FZ41" s="159"/>
      <c r="GA41" s="159"/>
      <c r="GB41" s="159"/>
      <c r="GC41" s="159"/>
      <c r="GD41" s="159"/>
      <c r="GE41" s="159"/>
      <c r="GF41" s="159"/>
      <c r="GG41" s="159"/>
      <c r="GH41" s="159"/>
      <c r="GI41" s="159"/>
      <c r="GJ41" s="159"/>
      <c r="GK41" s="159"/>
      <c r="GL41" s="159"/>
      <c r="GM41" s="159"/>
      <c r="GN41" s="159"/>
      <c r="GO41" s="159"/>
      <c r="GP41" s="159"/>
      <c r="GQ41" s="159"/>
      <c r="GR41" s="159"/>
      <c r="GS41" s="159"/>
      <c r="GT41" s="159"/>
      <c r="GU41" s="159"/>
      <c r="GV41" s="159"/>
      <c r="GW41" s="159"/>
      <c r="GX41" s="159"/>
      <c r="GY41" s="159"/>
      <c r="GZ41" s="159"/>
      <c r="HA41" s="159"/>
      <c r="HB41" s="159"/>
      <c r="HC41" s="159"/>
      <c r="HD41" s="159"/>
      <c r="HE41" s="159"/>
      <c r="HF41" s="159"/>
      <c r="HG41" s="159"/>
      <c r="HH41" s="159"/>
      <c r="HI41" s="159"/>
      <c r="HJ41" s="159"/>
      <c r="HK41" s="159"/>
      <c r="HL41" s="159"/>
      <c r="HM41" s="159"/>
      <c r="HN41" s="159"/>
      <c r="HO41" s="159"/>
      <c r="HP41" s="159"/>
      <c r="HQ41" s="159"/>
      <c r="HR41" s="159"/>
      <c r="HS41" s="159"/>
      <c r="HT41" s="159"/>
      <c r="HU41" s="159"/>
      <c r="HV41" s="159"/>
      <c r="HW41" s="159"/>
      <c r="HX41" s="159"/>
      <c r="HY41" s="159"/>
      <c r="HZ41" s="159"/>
      <c r="IA41" s="159"/>
      <c r="IB41" s="159"/>
      <c r="IC41" s="159"/>
      <c r="ID41" s="159"/>
      <c r="IE41" s="159"/>
      <c r="IF41" s="159"/>
      <c r="IG41" s="159"/>
      <c r="IH41" s="159"/>
      <c r="II41" s="159"/>
      <c r="IJ41" s="159"/>
      <c r="IK41" s="159"/>
      <c r="IL41" s="159"/>
      <c r="IM41" s="159"/>
      <c r="IN41" s="159"/>
      <c r="IO41" s="159"/>
      <c r="IP41" s="159"/>
      <c r="IQ41" s="159"/>
      <c r="IR41" s="159"/>
      <c r="IS41" s="159"/>
      <c r="IT41" s="159"/>
      <c r="IU41" s="159"/>
      <c r="IV41" s="159"/>
      <c r="IW41" s="159"/>
      <c r="IX41" s="159"/>
      <c r="IY41" s="159"/>
      <c r="IZ41" s="159"/>
      <c r="JA41" s="159"/>
      <c r="JB41" s="159"/>
      <c r="JC41" s="159"/>
      <c r="JD41" s="159"/>
      <c r="JE41" s="159"/>
      <c r="JF41" s="159"/>
      <c r="JG41" s="159"/>
      <c r="JH41" s="159"/>
      <c r="JI41" s="159"/>
      <c r="JJ41" s="159"/>
      <c r="JK41" s="159"/>
      <c r="JL41" s="159"/>
      <c r="JM41" s="159"/>
      <c r="JN41" s="159"/>
      <c r="JO41" s="159"/>
      <c r="JP41" s="159"/>
      <c r="JQ41" s="159"/>
      <c r="JR41" s="159"/>
      <c r="JS41" s="159"/>
      <c r="JT41" s="159"/>
      <c r="JU41" s="159"/>
      <c r="JV41" s="159"/>
      <c r="JW41" s="159"/>
      <c r="JX41" s="159"/>
      <c r="JY41" s="159"/>
      <c r="JZ41" s="159"/>
      <c r="KA41" s="159"/>
      <c r="KB41" s="159"/>
      <c r="KC41" s="159"/>
      <c r="KD41" s="159"/>
      <c r="KE41" s="159"/>
      <c r="KF41" s="159"/>
      <c r="KG41" s="159"/>
      <c r="KH41" s="159"/>
      <c r="KI41" s="159"/>
      <c r="KJ41" s="159"/>
      <c r="KK41" s="159"/>
      <c r="KL41" s="159"/>
      <c r="KM41" s="159"/>
      <c r="KN41" s="159"/>
      <c r="KO41" s="159"/>
      <c r="KP41" s="159"/>
      <c r="KQ41" s="159"/>
      <c r="KR41" s="159"/>
      <c r="KS41" s="159"/>
      <c r="KT41" s="159"/>
      <c r="KU41" s="159"/>
      <c r="KV41" s="159"/>
      <c r="KW41" s="159"/>
      <c r="KX41" s="159"/>
      <c r="KY41" s="159"/>
      <c r="KZ41" s="159"/>
      <c r="LA41" s="159"/>
      <c r="LB41" s="159"/>
      <c r="LC41" s="159"/>
      <c r="LD41" s="159"/>
      <c r="LE41" s="159"/>
      <c r="LF41" s="159"/>
      <c r="LG41" s="159"/>
      <c r="LH41" s="159"/>
      <c r="LI41" s="159"/>
      <c r="LJ41" s="159"/>
      <c r="LK41" s="159"/>
      <c r="LL41" s="159"/>
      <c r="LM41" s="159"/>
      <c r="LN41" s="159"/>
      <c r="LO41" s="159"/>
      <c r="LP41" s="159"/>
      <c r="LQ41" s="159"/>
      <c r="LR41" s="159"/>
      <c r="LS41" s="159"/>
      <c r="LT41" s="159"/>
      <c r="LU41" s="159"/>
      <c r="LV41" s="159"/>
      <c r="LW41" s="159"/>
      <c r="LX41" s="159"/>
      <c r="LY41" s="159"/>
      <c r="LZ41" s="159"/>
      <c r="MA41" s="159"/>
      <c r="MB41" s="159"/>
      <c r="MC41" s="159"/>
      <c r="MD41" s="159"/>
      <c r="ME41" s="159"/>
      <c r="MF41" s="159"/>
      <c r="MG41" s="159"/>
      <c r="MH41" s="159"/>
    </row>
    <row r="42" spans="1:346" s="160" customFormat="1" ht="13" x14ac:dyDescent="0.2">
      <c r="A42" s="158"/>
      <c r="B42" s="70"/>
      <c r="C42" s="138"/>
      <c r="D42" s="138"/>
      <c r="E42" s="138"/>
      <c r="F42" s="138"/>
      <c r="G42" s="138"/>
      <c r="H42" s="138"/>
      <c r="I42" s="138"/>
      <c r="J42" s="138"/>
      <c r="K42" s="138"/>
      <c r="L42" s="138"/>
      <c r="M42" s="138"/>
      <c r="N42" s="138"/>
      <c r="O42" s="138"/>
      <c r="P42" s="138"/>
      <c r="Q42" s="158"/>
      <c r="R42" s="159"/>
      <c r="S42" s="159"/>
      <c r="T42" s="159"/>
      <c r="U42" s="159"/>
      <c r="V42" s="159"/>
      <c r="W42" s="159"/>
      <c r="X42" s="159"/>
      <c r="Y42" s="159"/>
      <c r="Z42" s="159"/>
      <c r="AA42" s="159"/>
      <c r="AB42" s="159"/>
      <c r="AC42" s="159"/>
      <c r="AD42" s="159"/>
      <c r="AE42" s="159"/>
      <c r="AF42" s="159"/>
      <c r="AG42" s="159"/>
      <c r="AH42" s="159"/>
      <c r="AI42" s="159"/>
      <c r="AJ42" s="159"/>
      <c r="AK42" s="159"/>
      <c r="AL42" s="159"/>
      <c r="AM42" s="159"/>
      <c r="AN42" s="159"/>
      <c r="AO42" s="159"/>
      <c r="AP42" s="159"/>
      <c r="AQ42" s="159"/>
      <c r="AR42" s="159"/>
      <c r="AS42" s="159"/>
      <c r="AT42" s="159"/>
      <c r="AU42" s="159"/>
      <c r="AV42" s="159"/>
      <c r="AW42" s="159"/>
      <c r="AX42" s="159"/>
      <c r="AY42" s="159"/>
      <c r="AZ42" s="159"/>
      <c r="BA42" s="159"/>
      <c r="BB42" s="159"/>
      <c r="BC42" s="159"/>
      <c r="BD42" s="159"/>
      <c r="BE42" s="159"/>
      <c r="BF42" s="159"/>
      <c r="BG42" s="159"/>
      <c r="BH42" s="159"/>
      <c r="BI42" s="159"/>
      <c r="BJ42" s="159"/>
      <c r="BK42" s="159"/>
      <c r="BL42" s="159"/>
      <c r="BM42" s="159"/>
      <c r="BN42" s="159"/>
      <c r="BO42" s="159"/>
      <c r="BP42" s="159"/>
      <c r="BQ42" s="159"/>
      <c r="BR42" s="159"/>
      <c r="BS42" s="159"/>
      <c r="BT42" s="159"/>
      <c r="BU42" s="159"/>
      <c r="BV42" s="159"/>
      <c r="BW42" s="159"/>
      <c r="BX42" s="159"/>
      <c r="BY42" s="159"/>
      <c r="BZ42" s="159"/>
      <c r="CA42" s="159"/>
      <c r="CB42" s="159"/>
      <c r="CC42" s="159"/>
      <c r="CD42" s="159"/>
      <c r="CE42" s="159"/>
      <c r="CF42" s="159"/>
      <c r="CG42" s="159"/>
      <c r="CH42" s="159"/>
      <c r="CI42" s="159"/>
      <c r="CJ42" s="159"/>
      <c r="CK42" s="159"/>
      <c r="CL42" s="159"/>
      <c r="CM42" s="159"/>
      <c r="CN42" s="159"/>
      <c r="CO42" s="159"/>
      <c r="CP42" s="159"/>
      <c r="CQ42" s="159"/>
      <c r="CR42" s="159"/>
      <c r="CS42" s="159"/>
      <c r="CT42" s="159"/>
      <c r="CU42" s="159"/>
      <c r="CV42" s="159"/>
      <c r="CW42" s="159"/>
      <c r="CX42" s="159"/>
      <c r="CY42" s="159"/>
      <c r="CZ42" s="159"/>
      <c r="DA42" s="159"/>
      <c r="DB42" s="159"/>
      <c r="DC42" s="159"/>
      <c r="DD42" s="159"/>
      <c r="DE42" s="159"/>
      <c r="DF42" s="159"/>
      <c r="DG42" s="159"/>
      <c r="DH42" s="159"/>
      <c r="DI42" s="159"/>
      <c r="DJ42" s="159"/>
      <c r="DK42" s="159"/>
      <c r="DL42" s="159"/>
      <c r="DM42" s="159"/>
      <c r="DN42" s="159"/>
      <c r="DO42" s="159"/>
      <c r="DP42" s="159"/>
      <c r="DQ42" s="159"/>
      <c r="DR42" s="159"/>
      <c r="DS42" s="159"/>
      <c r="DT42" s="159"/>
      <c r="DU42" s="159"/>
      <c r="DV42" s="159"/>
      <c r="DW42" s="159"/>
      <c r="DX42" s="159"/>
      <c r="DY42" s="159"/>
      <c r="DZ42" s="159"/>
      <c r="EA42" s="159"/>
      <c r="EB42" s="159"/>
      <c r="EC42" s="159"/>
      <c r="ED42" s="159"/>
      <c r="EE42" s="159"/>
      <c r="EF42" s="159"/>
      <c r="EG42" s="159"/>
      <c r="EH42" s="159"/>
      <c r="EI42" s="159"/>
      <c r="EJ42" s="159"/>
      <c r="EK42" s="159"/>
      <c r="EL42" s="159"/>
      <c r="EM42" s="159"/>
      <c r="EN42" s="159"/>
      <c r="EO42" s="159"/>
      <c r="EP42" s="159"/>
      <c r="EQ42" s="159"/>
      <c r="ER42" s="159"/>
      <c r="ES42" s="159"/>
      <c r="ET42" s="159"/>
      <c r="EU42" s="159"/>
      <c r="EV42" s="159"/>
      <c r="EW42" s="159"/>
      <c r="EX42" s="159"/>
      <c r="EY42" s="159"/>
      <c r="EZ42" s="159"/>
      <c r="FA42" s="159"/>
      <c r="FB42" s="159"/>
      <c r="FC42" s="159"/>
      <c r="FD42" s="159"/>
      <c r="FE42" s="159"/>
      <c r="FF42" s="159"/>
      <c r="FG42" s="159"/>
      <c r="FH42" s="159"/>
      <c r="FI42" s="159"/>
      <c r="FJ42" s="159"/>
      <c r="FK42" s="159"/>
      <c r="FL42" s="159"/>
      <c r="FM42" s="159"/>
      <c r="FN42" s="159"/>
      <c r="FO42" s="159"/>
      <c r="FP42" s="159"/>
      <c r="FQ42" s="159"/>
      <c r="FR42" s="159"/>
      <c r="FS42" s="159"/>
      <c r="FT42" s="159"/>
      <c r="FU42" s="159"/>
      <c r="FV42" s="159"/>
      <c r="FW42" s="159"/>
      <c r="FX42" s="159"/>
      <c r="FY42" s="159"/>
      <c r="FZ42" s="159"/>
      <c r="GA42" s="159"/>
      <c r="GB42" s="159"/>
      <c r="GC42" s="159"/>
      <c r="GD42" s="159"/>
      <c r="GE42" s="159"/>
      <c r="GF42" s="159"/>
      <c r="GG42" s="159"/>
      <c r="GH42" s="159"/>
      <c r="GI42" s="159"/>
      <c r="GJ42" s="159"/>
      <c r="GK42" s="159"/>
      <c r="GL42" s="159"/>
      <c r="GM42" s="159"/>
      <c r="GN42" s="159"/>
      <c r="GO42" s="159"/>
      <c r="GP42" s="159"/>
      <c r="GQ42" s="159"/>
      <c r="GR42" s="159"/>
      <c r="GS42" s="159"/>
      <c r="GT42" s="159"/>
      <c r="GU42" s="159"/>
      <c r="GV42" s="159"/>
      <c r="GW42" s="159"/>
      <c r="GX42" s="159"/>
      <c r="GY42" s="159"/>
      <c r="GZ42" s="159"/>
      <c r="HA42" s="159"/>
      <c r="HB42" s="159"/>
      <c r="HC42" s="159"/>
      <c r="HD42" s="159"/>
      <c r="HE42" s="159"/>
      <c r="HF42" s="159"/>
      <c r="HG42" s="159"/>
      <c r="HH42" s="159"/>
      <c r="HI42" s="159"/>
      <c r="HJ42" s="159"/>
      <c r="HK42" s="159"/>
      <c r="HL42" s="159"/>
      <c r="HM42" s="159"/>
      <c r="HN42" s="159"/>
      <c r="HO42" s="159"/>
      <c r="HP42" s="159"/>
      <c r="HQ42" s="159"/>
      <c r="HR42" s="159"/>
      <c r="HS42" s="159"/>
      <c r="HT42" s="159"/>
      <c r="HU42" s="159"/>
      <c r="HV42" s="159"/>
      <c r="HW42" s="159"/>
      <c r="HX42" s="159"/>
      <c r="HY42" s="159"/>
      <c r="HZ42" s="159"/>
      <c r="IA42" s="159"/>
      <c r="IB42" s="159"/>
      <c r="IC42" s="159"/>
      <c r="ID42" s="159"/>
      <c r="IE42" s="159"/>
      <c r="IF42" s="159"/>
      <c r="IG42" s="159"/>
      <c r="IH42" s="159"/>
      <c r="II42" s="159"/>
      <c r="IJ42" s="159"/>
      <c r="IK42" s="159"/>
      <c r="IL42" s="159"/>
      <c r="IM42" s="159"/>
      <c r="IN42" s="159"/>
      <c r="IO42" s="159"/>
      <c r="IP42" s="159"/>
      <c r="IQ42" s="159"/>
      <c r="IR42" s="159"/>
      <c r="IS42" s="159"/>
      <c r="IT42" s="159"/>
      <c r="IU42" s="159"/>
      <c r="IV42" s="159"/>
      <c r="IW42" s="159"/>
      <c r="IX42" s="159"/>
      <c r="IY42" s="159"/>
      <c r="IZ42" s="159"/>
      <c r="JA42" s="159"/>
      <c r="JB42" s="159"/>
      <c r="JC42" s="159"/>
      <c r="JD42" s="159"/>
      <c r="JE42" s="159"/>
      <c r="JF42" s="159"/>
      <c r="JG42" s="159"/>
      <c r="JH42" s="159"/>
      <c r="JI42" s="159"/>
      <c r="JJ42" s="159"/>
      <c r="JK42" s="159"/>
      <c r="JL42" s="159"/>
      <c r="JM42" s="159"/>
      <c r="JN42" s="159"/>
      <c r="JO42" s="159"/>
      <c r="JP42" s="159"/>
      <c r="JQ42" s="159"/>
      <c r="JR42" s="159"/>
      <c r="JS42" s="159"/>
      <c r="JT42" s="159"/>
      <c r="JU42" s="159"/>
      <c r="JV42" s="159"/>
      <c r="JW42" s="159"/>
      <c r="JX42" s="159"/>
      <c r="JY42" s="159"/>
      <c r="JZ42" s="159"/>
      <c r="KA42" s="159"/>
      <c r="KB42" s="159"/>
      <c r="KC42" s="159"/>
      <c r="KD42" s="159"/>
      <c r="KE42" s="159"/>
      <c r="KF42" s="159"/>
      <c r="KG42" s="159"/>
      <c r="KH42" s="159"/>
      <c r="KI42" s="159"/>
      <c r="KJ42" s="159"/>
      <c r="KK42" s="159"/>
      <c r="KL42" s="159"/>
      <c r="KM42" s="159"/>
      <c r="KN42" s="159"/>
      <c r="KO42" s="159"/>
      <c r="KP42" s="159"/>
      <c r="KQ42" s="159"/>
      <c r="KR42" s="159"/>
      <c r="KS42" s="159"/>
      <c r="KT42" s="159"/>
      <c r="KU42" s="159"/>
      <c r="KV42" s="159"/>
      <c r="KW42" s="159"/>
      <c r="KX42" s="159"/>
      <c r="KY42" s="159"/>
      <c r="KZ42" s="159"/>
      <c r="LA42" s="159"/>
      <c r="LB42" s="159"/>
      <c r="LC42" s="159"/>
      <c r="LD42" s="159"/>
      <c r="LE42" s="159"/>
      <c r="LF42" s="159"/>
      <c r="LG42" s="159"/>
      <c r="LH42" s="159"/>
      <c r="LI42" s="159"/>
      <c r="LJ42" s="159"/>
      <c r="LK42" s="159"/>
      <c r="LL42" s="159"/>
      <c r="LM42" s="159"/>
      <c r="LN42" s="159"/>
      <c r="LO42" s="159"/>
      <c r="LP42" s="159"/>
      <c r="LQ42" s="159"/>
      <c r="LR42" s="159"/>
      <c r="LS42" s="159"/>
      <c r="LT42" s="159"/>
      <c r="LU42" s="159"/>
      <c r="LV42" s="159"/>
      <c r="LW42" s="159"/>
      <c r="LX42" s="159"/>
      <c r="LY42" s="159"/>
      <c r="LZ42" s="159"/>
      <c r="MA42" s="159"/>
      <c r="MB42" s="159"/>
      <c r="MC42" s="159"/>
      <c r="MD42" s="159"/>
      <c r="ME42" s="159"/>
      <c r="MF42" s="159"/>
      <c r="MG42" s="159"/>
      <c r="MH42" s="159"/>
    </row>
    <row r="43" spans="1:346" s="160" customFormat="1" ht="13" x14ac:dyDescent="0.2">
      <c r="A43" s="158"/>
      <c r="B43" s="138" t="str">
        <f>IF(Client_Access=4,AppStream_Hours&amp;" hours of monthly streaming on "&amp;AppStream_Instance_Type,"")</f>
        <v/>
      </c>
      <c r="C43" s="138"/>
      <c r="D43" s="138"/>
      <c r="E43" s="138"/>
      <c r="F43" s="138"/>
      <c r="G43" s="138"/>
      <c r="H43" s="138"/>
      <c r="I43" s="138"/>
      <c r="J43" s="138"/>
      <c r="K43" s="138"/>
      <c r="L43" s="138"/>
      <c r="M43" s="138"/>
      <c r="N43" s="127" t="str">
        <f>IF(Client_Access=4,AppStream_Streaming_Price,"")</f>
        <v/>
      </c>
      <c r="O43" s="69" t="str">
        <f>IF(Client_Access=4,"USD","")</f>
        <v/>
      </c>
      <c r="P43" s="138"/>
      <c r="Q43" s="158"/>
      <c r="R43" s="159"/>
      <c r="S43" s="159"/>
      <c r="T43" s="159"/>
      <c r="U43" s="159"/>
      <c r="V43" s="159"/>
      <c r="W43" s="159"/>
      <c r="X43" s="159"/>
      <c r="Y43" s="159"/>
      <c r="Z43" s="159"/>
      <c r="AA43" s="159"/>
      <c r="AB43" s="159"/>
      <c r="AC43" s="159"/>
      <c r="AD43" s="159"/>
      <c r="AE43" s="159"/>
      <c r="AF43" s="159"/>
      <c r="AG43" s="159"/>
      <c r="AH43" s="159"/>
      <c r="AI43" s="159"/>
      <c r="AJ43" s="159"/>
      <c r="AK43" s="159"/>
      <c r="AL43" s="159"/>
      <c r="AM43" s="159"/>
      <c r="AN43" s="159"/>
      <c r="AO43" s="159"/>
      <c r="AP43" s="159"/>
      <c r="AQ43" s="159"/>
      <c r="AR43" s="159"/>
      <c r="AS43" s="159"/>
      <c r="AT43" s="159"/>
      <c r="AU43" s="159"/>
      <c r="AV43" s="159"/>
      <c r="AW43" s="159"/>
      <c r="AX43" s="159"/>
      <c r="AY43" s="159"/>
      <c r="AZ43" s="159"/>
      <c r="BA43" s="159"/>
      <c r="BB43" s="159"/>
      <c r="BC43" s="159"/>
      <c r="BD43" s="159"/>
      <c r="BE43" s="159"/>
      <c r="BF43" s="159"/>
      <c r="BG43" s="159"/>
      <c r="BH43" s="159"/>
      <c r="BI43" s="159"/>
      <c r="BJ43" s="159"/>
      <c r="BK43" s="159"/>
      <c r="BL43" s="159"/>
      <c r="BM43" s="159"/>
      <c r="BN43" s="159"/>
      <c r="BO43" s="159"/>
      <c r="BP43" s="159"/>
      <c r="BQ43" s="159"/>
      <c r="BR43" s="159"/>
      <c r="BS43" s="159"/>
      <c r="BT43" s="159"/>
      <c r="BU43" s="159"/>
      <c r="BV43" s="159"/>
      <c r="BW43" s="159"/>
      <c r="BX43" s="159"/>
      <c r="BY43" s="159"/>
      <c r="BZ43" s="159"/>
      <c r="CA43" s="159"/>
      <c r="CB43" s="159"/>
      <c r="CC43" s="159"/>
      <c r="CD43" s="159"/>
      <c r="CE43" s="159"/>
      <c r="CF43" s="159"/>
      <c r="CG43" s="159"/>
      <c r="CH43" s="159"/>
      <c r="CI43" s="159"/>
      <c r="CJ43" s="159"/>
      <c r="CK43" s="159"/>
      <c r="CL43" s="159"/>
      <c r="CM43" s="159"/>
      <c r="CN43" s="159"/>
      <c r="CO43" s="159"/>
      <c r="CP43" s="159"/>
      <c r="CQ43" s="159"/>
      <c r="CR43" s="159"/>
      <c r="CS43" s="159"/>
      <c r="CT43" s="159"/>
      <c r="CU43" s="159"/>
      <c r="CV43" s="159"/>
      <c r="CW43" s="159"/>
      <c r="CX43" s="159"/>
      <c r="CY43" s="159"/>
      <c r="CZ43" s="159"/>
      <c r="DA43" s="159"/>
      <c r="DB43" s="159"/>
      <c r="DC43" s="159"/>
      <c r="DD43" s="159"/>
      <c r="DE43" s="159"/>
      <c r="DF43" s="159"/>
      <c r="DG43" s="159"/>
      <c r="DH43" s="159"/>
      <c r="DI43" s="159"/>
      <c r="DJ43" s="159"/>
      <c r="DK43" s="159"/>
      <c r="DL43" s="159"/>
      <c r="DM43" s="159"/>
      <c r="DN43" s="159"/>
      <c r="DO43" s="159"/>
      <c r="DP43" s="159"/>
      <c r="DQ43" s="159"/>
      <c r="DR43" s="159"/>
      <c r="DS43" s="159"/>
      <c r="DT43" s="159"/>
      <c r="DU43" s="159"/>
      <c r="DV43" s="159"/>
      <c r="DW43" s="159"/>
      <c r="DX43" s="159"/>
      <c r="DY43" s="159"/>
      <c r="DZ43" s="159"/>
      <c r="EA43" s="159"/>
      <c r="EB43" s="159"/>
      <c r="EC43" s="159"/>
      <c r="ED43" s="159"/>
      <c r="EE43" s="159"/>
      <c r="EF43" s="159"/>
      <c r="EG43" s="159"/>
      <c r="EH43" s="159"/>
      <c r="EI43" s="159"/>
      <c r="EJ43" s="159"/>
      <c r="EK43" s="159"/>
      <c r="EL43" s="159"/>
      <c r="EM43" s="159"/>
      <c r="EN43" s="159"/>
      <c r="EO43" s="159"/>
      <c r="EP43" s="159"/>
      <c r="EQ43" s="159"/>
      <c r="ER43" s="159"/>
      <c r="ES43" s="159"/>
      <c r="ET43" s="159"/>
      <c r="EU43" s="159"/>
      <c r="EV43" s="159"/>
      <c r="EW43" s="159"/>
      <c r="EX43" s="159"/>
      <c r="EY43" s="159"/>
      <c r="EZ43" s="159"/>
      <c r="FA43" s="159"/>
      <c r="FB43" s="159"/>
      <c r="FC43" s="159"/>
      <c r="FD43" s="159"/>
      <c r="FE43" s="159"/>
      <c r="FF43" s="159"/>
      <c r="FG43" s="159"/>
      <c r="FH43" s="159"/>
      <c r="FI43" s="159"/>
      <c r="FJ43" s="159"/>
      <c r="FK43" s="159"/>
      <c r="FL43" s="159"/>
      <c r="FM43" s="159"/>
      <c r="FN43" s="159"/>
      <c r="FO43" s="159"/>
      <c r="FP43" s="159"/>
      <c r="FQ43" s="159"/>
      <c r="FR43" s="159"/>
      <c r="FS43" s="159"/>
      <c r="FT43" s="159"/>
      <c r="FU43" s="159"/>
      <c r="FV43" s="159"/>
      <c r="FW43" s="159"/>
      <c r="FX43" s="159"/>
      <c r="FY43" s="159"/>
      <c r="FZ43" s="159"/>
      <c r="GA43" s="159"/>
      <c r="GB43" s="159"/>
      <c r="GC43" s="159"/>
      <c r="GD43" s="159"/>
      <c r="GE43" s="159"/>
      <c r="GF43" s="159"/>
      <c r="GG43" s="159"/>
      <c r="GH43" s="159"/>
      <c r="GI43" s="159"/>
      <c r="GJ43" s="159"/>
      <c r="GK43" s="159"/>
      <c r="GL43" s="159"/>
      <c r="GM43" s="159"/>
      <c r="GN43" s="159"/>
      <c r="GO43" s="159"/>
      <c r="GP43" s="159"/>
      <c r="GQ43" s="159"/>
      <c r="GR43" s="159"/>
      <c r="GS43" s="159"/>
      <c r="GT43" s="159"/>
      <c r="GU43" s="159"/>
      <c r="GV43" s="159"/>
      <c r="GW43" s="159"/>
      <c r="GX43" s="159"/>
      <c r="GY43" s="159"/>
      <c r="GZ43" s="159"/>
      <c r="HA43" s="159"/>
      <c r="HB43" s="159"/>
      <c r="HC43" s="159"/>
      <c r="HD43" s="159"/>
      <c r="HE43" s="159"/>
      <c r="HF43" s="159"/>
      <c r="HG43" s="159"/>
      <c r="HH43" s="159"/>
      <c r="HI43" s="159"/>
      <c r="HJ43" s="159"/>
      <c r="HK43" s="159"/>
      <c r="HL43" s="159"/>
      <c r="HM43" s="159"/>
      <c r="HN43" s="159"/>
      <c r="HO43" s="159"/>
      <c r="HP43" s="159"/>
      <c r="HQ43" s="159"/>
      <c r="HR43" s="159"/>
      <c r="HS43" s="159"/>
      <c r="HT43" s="159"/>
      <c r="HU43" s="159"/>
      <c r="HV43" s="159"/>
      <c r="HW43" s="159"/>
      <c r="HX43" s="159"/>
      <c r="HY43" s="159"/>
      <c r="HZ43" s="159"/>
      <c r="IA43" s="159"/>
      <c r="IB43" s="159"/>
      <c r="IC43" s="159"/>
      <c r="ID43" s="159"/>
      <c r="IE43" s="159"/>
      <c r="IF43" s="159"/>
      <c r="IG43" s="159"/>
      <c r="IH43" s="159"/>
      <c r="II43" s="159"/>
      <c r="IJ43" s="159"/>
      <c r="IK43" s="159"/>
      <c r="IL43" s="159"/>
      <c r="IM43" s="159"/>
      <c r="IN43" s="159"/>
      <c r="IO43" s="159"/>
      <c r="IP43" s="159"/>
      <c r="IQ43" s="159"/>
      <c r="IR43" s="159"/>
      <c r="IS43" s="159"/>
      <c r="IT43" s="159"/>
      <c r="IU43" s="159"/>
      <c r="IV43" s="159"/>
      <c r="IW43" s="159"/>
      <c r="IX43" s="159"/>
      <c r="IY43" s="159"/>
      <c r="IZ43" s="159"/>
      <c r="JA43" s="159"/>
      <c r="JB43" s="159"/>
      <c r="JC43" s="159"/>
      <c r="JD43" s="159"/>
      <c r="JE43" s="159"/>
      <c r="JF43" s="159"/>
      <c r="JG43" s="159"/>
      <c r="JH43" s="159"/>
      <c r="JI43" s="159"/>
      <c r="JJ43" s="159"/>
      <c r="JK43" s="159"/>
      <c r="JL43" s="159"/>
      <c r="JM43" s="159"/>
      <c r="JN43" s="159"/>
      <c r="JO43" s="159"/>
      <c r="JP43" s="159"/>
      <c r="JQ43" s="159"/>
      <c r="JR43" s="159"/>
      <c r="JS43" s="159"/>
      <c r="JT43" s="159"/>
      <c r="JU43" s="159"/>
      <c r="JV43" s="159"/>
      <c r="JW43" s="159"/>
      <c r="JX43" s="159"/>
      <c r="JY43" s="159"/>
      <c r="JZ43" s="159"/>
      <c r="KA43" s="159"/>
      <c r="KB43" s="159"/>
      <c r="KC43" s="159"/>
      <c r="KD43" s="159"/>
      <c r="KE43" s="159"/>
      <c r="KF43" s="159"/>
      <c r="KG43" s="159"/>
      <c r="KH43" s="159"/>
      <c r="KI43" s="159"/>
      <c r="KJ43" s="159"/>
      <c r="KK43" s="159"/>
      <c r="KL43" s="159"/>
      <c r="KM43" s="159"/>
      <c r="KN43" s="159"/>
      <c r="KO43" s="159"/>
      <c r="KP43" s="159"/>
      <c r="KQ43" s="159"/>
      <c r="KR43" s="159"/>
      <c r="KS43" s="159"/>
      <c r="KT43" s="159"/>
      <c r="KU43" s="159"/>
      <c r="KV43" s="159"/>
      <c r="KW43" s="159"/>
      <c r="KX43" s="159"/>
      <c r="KY43" s="159"/>
      <c r="KZ43" s="159"/>
      <c r="LA43" s="159"/>
      <c r="LB43" s="159"/>
      <c r="LC43" s="159"/>
      <c r="LD43" s="159"/>
      <c r="LE43" s="159"/>
      <c r="LF43" s="159"/>
      <c r="LG43" s="159"/>
      <c r="LH43" s="159"/>
      <c r="LI43" s="159"/>
      <c r="LJ43" s="159"/>
      <c r="LK43" s="159"/>
      <c r="LL43" s="159"/>
      <c r="LM43" s="159"/>
      <c r="LN43" s="159"/>
      <c r="LO43" s="159"/>
      <c r="LP43" s="159"/>
      <c r="LQ43" s="159"/>
      <c r="LR43" s="159"/>
      <c r="LS43" s="159"/>
      <c r="LT43" s="159"/>
      <c r="LU43" s="159"/>
      <c r="LV43" s="159"/>
      <c r="LW43" s="159"/>
      <c r="LX43" s="159"/>
      <c r="LY43" s="159"/>
      <c r="LZ43" s="159"/>
      <c r="MA43" s="159"/>
      <c r="MB43" s="159"/>
      <c r="MC43" s="159"/>
      <c r="MD43" s="159"/>
      <c r="ME43" s="159"/>
      <c r="MF43" s="159"/>
      <c r="MG43" s="159"/>
      <c r="MH43" s="159"/>
    </row>
    <row r="44" spans="1:346" s="160" customFormat="1" ht="12" x14ac:dyDescent="0.15">
      <c r="A44" s="158"/>
      <c r="B44" s="157"/>
      <c r="C44" s="157"/>
      <c r="D44" s="157"/>
      <c r="E44" s="157"/>
      <c r="F44" s="157"/>
      <c r="G44" s="157"/>
      <c r="H44" s="157"/>
      <c r="I44" s="157"/>
      <c r="J44" s="157"/>
      <c r="K44" s="157"/>
      <c r="L44" s="157"/>
      <c r="M44" s="157"/>
      <c r="N44" s="157"/>
      <c r="O44" s="157"/>
      <c r="P44" s="157"/>
      <c r="Q44" s="158"/>
      <c r="R44" s="159"/>
      <c r="S44" s="159"/>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I44" s="159"/>
      <c r="BJ44" s="159"/>
      <c r="BK44" s="159"/>
      <c r="BL44" s="159"/>
      <c r="BM44" s="159"/>
      <c r="BN44" s="159"/>
      <c r="BO44" s="159"/>
      <c r="BP44" s="159"/>
      <c r="BQ44" s="159"/>
      <c r="BR44" s="159"/>
      <c r="BS44" s="159"/>
      <c r="BT44" s="159"/>
      <c r="BU44" s="159"/>
      <c r="BV44" s="159"/>
      <c r="BW44" s="159"/>
      <c r="BX44" s="159"/>
      <c r="BY44" s="159"/>
      <c r="BZ44" s="159"/>
      <c r="CA44" s="159"/>
      <c r="CB44" s="159"/>
      <c r="CC44" s="159"/>
      <c r="CD44" s="159"/>
      <c r="CE44" s="159"/>
      <c r="CF44" s="159"/>
      <c r="CG44" s="159"/>
      <c r="CH44" s="159"/>
      <c r="CI44" s="159"/>
      <c r="CJ44" s="159"/>
      <c r="CK44" s="159"/>
      <c r="CL44" s="159"/>
      <c r="CM44" s="159"/>
      <c r="CN44" s="159"/>
      <c r="CO44" s="159"/>
      <c r="CP44" s="159"/>
      <c r="CQ44" s="159"/>
      <c r="CR44" s="159"/>
      <c r="CS44" s="159"/>
      <c r="CT44" s="159"/>
      <c r="CU44" s="159"/>
      <c r="CV44" s="159"/>
      <c r="CW44" s="159"/>
      <c r="CX44" s="159"/>
      <c r="CY44" s="159"/>
      <c r="CZ44" s="159"/>
      <c r="DA44" s="159"/>
      <c r="DB44" s="159"/>
      <c r="DC44" s="159"/>
      <c r="DD44" s="159"/>
      <c r="DE44" s="159"/>
      <c r="DF44" s="159"/>
      <c r="DG44" s="159"/>
      <c r="DH44" s="159"/>
      <c r="DI44" s="159"/>
      <c r="DJ44" s="159"/>
      <c r="DK44" s="159"/>
      <c r="DL44" s="159"/>
      <c r="DM44" s="159"/>
      <c r="DN44" s="159"/>
      <c r="DO44" s="159"/>
      <c r="DP44" s="159"/>
      <c r="DQ44" s="159"/>
      <c r="DR44" s="159"/>
      <c r="DS44" s="159"/>
      <c r="DT44" s="159"/>
      <c r="DU44" s="159"/>
      <c r="DV44" s="159"/>
      <c r="DW44" s="159"/>
      <c r="DX44" s="159"/>
      <c r="DY44" s="159"/>
      <c r="DZ44" s="159"/>
      <c r="EA44" s="159"/>
      <c r="EB44" s="159"/>
      <c r="EC44" s="159"/>
      <c r="ED44" s="159"/>
      <c r="EE44" s="159"/>
      <c r="EF44" s="159"/>
      <c r="EG44" s="159"/>
      <c r="EH44" s="159"/>
      <c r="EI44" s="159"/>
      <c r="EJ44" s="159"/>
      <c r="EK44" s="159"/>
      <c r="EL44" s="159"/>
      <c r="EM44" s="159"/>
      <c r="EN44" s="159"/>
      <c r="EO44" s="159"/>
      <c r="EP44" s="159"/>
      <c r="EQ44" s="159"/>
      <c r="ER44" s="159"/>
      <c r="ES44" s="159"/>
      <c r="ET44" s="159"/>
      <c r="EU44" s="159"/>
      <c r="EV44" s="159"/>
      <c r="EW44" s="159"/>
      <c r="EX44" s="159"/>
      <c r="EY44" s="159"/>
      <c r="EZ44" s="159"/>
      <c r="FA44" s="159"/>
      <c r="FB44" s="159"/>
      <c r="FC44" s="159"/>
      <c r="FD44" s="159"/>
      <c r="FE44" s="159"/>
      <c r="FF44" s="159"/>
      <c r="FG44" s="159"/>
      <c r="FH44" s="159"/>
      <c r="FI44" s="159"/>
      <c r="FJ44" s="159"/>
      <c r="FK44" s="159"/>
      <c r="FL44" s="159"/>
      <c r="FM44" s="159"/>
      <c r="FN44" s="159"/>
      <c r="FO44" s="159"/>
      <c r="FP44" s="159"/>
      <c r="FQ44" s="159"/>
      <c r="FR44" s="159"/>
      <c r="FS44" s="159"/>
      <c r="FT44" s="159"/>
      <c r="FU44" s="159"/>
      <c r="FV44" s="159"/>
      <c r="FW44" s="159"/>
      <c r="FX44" s="159"/>
      <c r="FY44" s="159"/>
      <c r="FZ44" s="159"/>
      <c r="GA44" s="159"/>
      <c r="GB44" s="159"/>
      <c r="GC44" s="159"/>
      <c r="GD44" s="159"/>
      <c r="GE44" s="159"/>
      <c r="GF44" s="159"/>
      <c r="GG44" s="159"/>
      <c r="GH44" s="159"/>
      <c r="GI44" s="159"/>
      <c r="GJ44" s="159"/>
      <c r="GK44" s="159"/>
      <c r="GL44" s="159"/>
      <c r="GM44" s="159"/>
      <c r="GN44" s="159"/>
      <c r="GO44" s="159"/>
      <c r="GP44" s="159"/>
      <c r="GQ44" s="159"/>
      <c r="GR44" s="159"/>
      <c r="GS44" s="159"/>
      <c r="GT44" s="159"/>
      <c r="GU44" s="159"/>
      <c r="GV44" s="159"/>
      <c r="GW44" s="159"/>
      <c r="GX44" s="159"/>
      <c r="GY44" s="159"/>
      <c r="GZ44" s="159"/>
      <c r="HA44" s="159"/>
      <c r="HB44" s="159"/>
      <c r="HC44" s="159"/>
      <c r="HD44" s="159"/>
      <c r="HE44" s="159"/>
      <c r="HF44" s="159"/>
      <c r="HG44" s="159"/>
      <c r="HH44" s="159"/>
      <c r="HI44" s="159"/>
      <c r="HJ44" s="159"/>
      <c r="HK44" s="159"/>
      <c r="HL44" s="159"/>
      <c r="HM44" s="159"/>
      <c r="HN44" s="159"/>
      <c r="HO44" s="159"/>
      <c r="HP44" s="159"/>
      <c r="HQ44" s="159"/>
      <c r="HR44" s="159"/>
      <c r="HS44" s="159"/>
      <c r="HT44" s="159"/>
      <c r="HU44" s="159"/>
      <c r="HV44" s="159"/>
      <c r="HW44" s="159"/>
      <c r="HX44" s="159"/>
      <c r="HY44" s="159"/>
      <c r="HZ44" s="159"/>
      <c r="IA44" s="159"/>
      <c r="IB44" s="159"/>
      <c r="IC44" s="159"/>
      <c r="ID44" s="159"/>
      <c r="IE44" s="159"/>
      <c r="IF44" s="159"/>
      <c r="IG44" s="159"/>
      <c r="IH44" s="159"/>
      <c r="II44" s="159"/>
      <c r="IJ44" s="159"/>
      <c r="IK44" s="159"/>
      <c r="IL44" s="159"/>
      <c r="IM44" s="159"/>
      <c r="IN44" s="159"/>
      <c r="IO44" s="159"/>
      <c r="IP44" s="159"/>
      <c r="IQ44" s="159"/>
      <c r="IR44" s="159"/>
      <c r="IS44" s="159"/>
      <c r="IT44" s="159"/>
      <c r="IU44" s="159"/>
      <c r="IV44" s="159"/>
      <c r="IW44" s="159"/>
      <c r="IX44" s="159"/>
      <c r="IY44" s="159"/>
      <c r="IZ44" s="159"/>
      <c r="JA44" s="159"/>
      <c r="JB44" s="159"/>
      <c r="JC44" s="159"/>
      <c r="JD44" s="159"/>
      <c r="JE44" s="159"/>
      <c r="JF44" s="159"/>
      <c r="JG44" s="159"/>
      <c r="JH44" s="159"/>
      <c r="JI44" s="159"/>
      <c r="JJ44" s="159"/>
      <c r="JK44" s="159"/>
      <c r="JL44" s="159"/>
      <c r="JM44" s="159"/>
      <c r="JN44" s="159"/>
      <c r="JO44" s="159"/>
      <c r="JP44" s="159"/>
      <c r="JQ44" s="159"/>
      <c r="JR44" s="159"/>
      <c r="JS44" s="159"/>
      <c r="JT44" s="159"/>
      <c r="JU44" s="159"/>
      <c r="JV44" s="159"/>
      <c r="JW44" s="159"/>
      <c r="JX44" s="159"/>
      <c r="JY44" s="159"/>
      <c r="JZ44" s="159"/>
      <c r="KA44" s="159"/>
      <c r="KB44" s="159"/>
      <c r="KC44" s="159"/>
      <c r="KD44" s="159"/>
      <c r="KE44" s="159"/>
      <c r="KF44" s="159"/>
      <c r="KG44" s="159"/>
      <c r="KH44" s="159"/>
      <c r="KI44" s="159"/>
      <c r="KJ44" s="159"/>
      <c r="KK44" s="159"/>
      <c r="KL44" s="159"/>
      <c r="KM44" s="159"/>
      <c r="KN44" s="159"/>
      <c r="KO44" s="159"/>
      <c r="KP44" s="159"/>
      <c r="KQ44" s="159"/>
      <c r="KR44" s="159"/>
      <c r="KS44" s="159"/>
      <c r="KT44" s="159"/>
      <c r="KU44" s="159"/>
      <c r="KV44" s="159"/>
      <c r="KW44" s="159"/>
      <c r="KX44" s="159"/>
      <c r="KY44" s="159"/>
      <c r="KZ44" s="159"/>
      <c r="LA44" s="159"/>
      <c r="LB44" s="159"/>
      <c r="LC44" s="159"/>
      <c r="LD44" s="159"/>
      <c r="LE44" s="159"/>
      <c r="LF44" s="159"/>
      <c r="LG44" s="159"/>
      <c r="LH44" s="159"/>
      <c r="LI44" s="159"/>
      <c r="LJ44" s="159"/>
      <c r="LK44" s="159"/>
      <c r="LL44" s="159"/>
      <c r="LM44" s="159"/>
      <c r="LN44" s="159"/>
      <c r="LO44" s="159"/>
      <c r="LP44" s="159"/>
      <c r="LQ44" s="159"/>
      <c r="LR44" s="159"/>
      <c r="LS44" s="159"/>
      <c r="LT44" s="159"/>
      <c r="LU44" s="159"/>
      <c r="LV44" s="159"/>
      <c r="LW44" s="159"/>
      <c r="LX44" s="159"/>
      <c r="LY44" s="159"/>
      <c r="LZ44" s="159"/>
      <c r="MA44" s="159"/>
      <c r="MB44" s="159"/>
      <c r="MC44" s="159"/>
      <c r="MD44" s="159"/>
      <c r="ME44" s="159"/>
      <c r="MF44" s="159"/>
      <c r="MG44" s="159"/>
      <c r="MH44" s="159"/>
    </row>
    <row r="45" spans="1:346" s="160" customFormat="1" ht="12" x14ac:dyDescent="0.15">
      <c r="A45" s="158"/>
      <c r="B45" s="138"/>
      <c r="C45" s="138"/>
      <c r="D45" s="138"/>
      <c r="E45" s="138"/>
      <c r="F45" s="138"/>
      <c r="G45" s="138"/>
      <c r="H45" s="138"/>
      <c r="I45" s="138"/>
      <c r="J45" s="138"/>
      <c r="K45" s="138"/>
      <c r="L45" s="138"/>
      <c r="M45" s="138"/>
      <c r="N45" s="138"/>
      <c r="O45" s="138"/>
      <c r="P45" s="138"/>
      <c r="Q45" s="158"/>
      <c r="R45" s="159"/>
      <c r="S45" s="159"/>
      <c r="T45" s="159"/>
      <c r="U45" s="159"/>
      <c r="V45" s="159"/>
      <c r="W45" s="159"/>
      <c r="X45" s="159"/>
      <c r="Y45" s="159"/>
      <c r="Z45" s="159"/>
      <c r="AA45" s="159"/>
      <c r="AB45" s="159"/>
      <c r="AC45" s="159"/>
      <c r="AD45" s="159"/>
      <c r="AE45" s="159"/>
      <c r="AF45" s="159"/>
      <c r="AG45" s="159"/>
      <c r="AH45" s="159"/>
      <c r="AI45" s="159"/>
      <c r="AJ45" s="159"/>
      <c r="AK45" s="159"/>
      <c r="AL45" s="159"/>
      <c r="AM45" s="159"/>
      <c r="AN45" s="159"/>
      <c r="AO45" s="159"/>
      <c r="AP45" s="159"/>
      <c r="AQ45" s="159"/>
      <c r="AR45" s="159"/>
      <c r="AS45" s="159"/>
      <c r="AT45" s="159"/>
      <c r="AU45" s="159"/>
      <c r="AV45" s="159"/>
      <c r="AW45" s="159"/>
      <c r="AX45" s="159"/>
      <c r="AY45" s="159"/>
      <c r="AZ45" s="159"/>
      <c r="BA45" s="159"/>
      <c r="BB45" s="159"/>
      <c r="BC45" s="159"/>
      <c r="BD45" s="159"/>
      <c r="BE45" s="159"/>
      <c r="BF45" s="159"/>
      <c r="BG45" s="159"/>
      <c r="BH45" s="159"/>
      <c r="BI45" s="159"/>
      <c r="BJ45" s="159"/>
      <c r="BK45" s="159"/>
      <c r="BL45" s="159"/>
      <c r="BM45" s="159"/>
      <c r="BN45" s="159"/>
      <c r="BO45" s="159"/>
      <c r="BP45" s="159"/>
      <c r="BQ45" s="159"/>
      <c r="BR45" s="159"/>
      <c r="BS45" s="159"/>
      <c r="BT45" s="159"/>
      <c r="BU45" s="159"/>
      <c r="BV45" s="159"/>
      <c r="BW45" s="159"/>
      <c r="BX45" s="159"/>
      <c r="BY45" s="159"/>
      <c r="BZ45" s="159"/>
      <c r="CA45" s="159"/>
      <c r="CB45" s="159"/>
      <c r="CC45" s="159"/>
      <c r="CD45" s="159"/>
      <c r="CE45" s="159"/>
      <c r="CF45" s="159"/>
      <c r="CG45" s="159"/>
      <c r="CH45" s="159"/>
      <c r="CI45" s="159"/>
      <c r="CJ45" s="159"/>
      <c r="CK45" s="159"/>
      <c r="CL45" s="159"/>
      <c r="CM45" s="159"/>
      <c r="CN45" s="159"/>
      <c r="CO45" s="159"/>
      <c r="CP45" s="159"/>
      <c r="CQ45" s="159"/>
      <c r="CR45" s="159"/>
      <c r="CS45" s="159"/>
      <c r="CT45" s="159"/>
      <c r="CU45" s="159"/>
      <c r="CV45" s="159"/>
      <c r="CW45" s="159"/>
      <c r="CX45" s="159"/>
      <c r="CY45" s="159"/>
      <c r="CZ45" s="159"/>
      <c r="DA45" s="159"/>
      <c r="DB45" s="159"/>
      <c r="DC45" s="159"/>
      <c r="DD45" s="159"/>
      <c r="DE45" s="159"/>
      <c r="DF45" s="159"/>
      <c r="DG45" s="159"/>
      <c r="DH45" s="159"/>
      <c r="DI45" s="159"/>
      <c r="DJ45" s="159"/>
      <c r="DK45" s="159"/>
      <c r="DL45" s="159"/>
      <c r="DM45" s="159"/>
      <c r="DN45" s="159"/>
      <c r="DO45" s="159"/>
      <c r="DP45" s="159"/>
      <c r="DQ45" s="159"/>
      <c r="DR45" s="159"/>
      <c r="DS45" s="159"/>
      <c r="DT45" s="159"/>
      <c r="DU45" s="159"/>
      <c r="DV45" s="159"/>
      <c r="DW45" s="159"/>
      <c r="DX45" s="159"/>
      <c r="DY45" s="159"/>
      <c r="DZ45" s="159"/>
      <c r="EA45" s="159"/>
      <c r="EB45" s="159"/>
      <c r="EC45" s="159"/>
      <c r="ED45" s="159"/>
      <c r="EE45" s="159"/>
      <c r="EF45" s="159"/>
      <c r="EG45" s="159"/>
      <c r="EH45" s="159"/>
      <c r="EI45" s="159"/>
      <c r="EJ45" s="159"/>
      <c r="EK45" s="159"/>
      <c r="EL45" s="159"/>
      <c r="EM45" s="159"/>
      <c r="EN45" s="159"/>
      <c r="EO45" s="159"/>
      <c r="EP45" s="159"/>
      <c r="EQ45" s="159"/>
      <c r="ER45" s="159"/>
      <c r="ES45" s="159"/>
      <c r="ET45" s="159"/>
      <c r="EU45" s="159"/>
      <c r="EV45" s="159"/>
      <c r="EW45" s="159"/>
      <c r="EX45" s="159"/>
      <c r="EY45" s="159"/>
      <c r="EZ45" s="159"/>
      <c r="FA45" s="159"/>
      <c r="FB45" s="159"/>
      <c r="FC45" s="159"/>
      <c r="FD45" s="159"/>
      <c r="FE45" s="159"/>
      <c r="FF45" s="159"/>
      <c r="FG45" s="159"/>
      <c r="FH45" s="159"/>
      <c r="FI45" s="159"/>
      <c r="FJ45" s="159"/>
      <c r="FK45" s="159"/>
      <c r="FL45" s="159"/>
      <c r="FM45" s="159"/>
      <c r="FN45" s="159"/>
      <c r="FO45" s="159"/>
      <c r="FP45" s="159"/>
      <c r="FQ45" s="159"/>
      <c r="FR45" s="159"/>
      <c r="FS45" s="159"/>
      <c r="FT45" s="159"/>
      <c r="FU45" s="159"/>
      <c r="FV45" s="159"/>
      <c r="FW45" s="159"/>
      <c r="FX45" s="159"/>
      <c r="FY45" s="159"/>
      <c r="FZ45" s="159"/>
      <c r="GA45" s="159"/>
      <c r="GB45" s="159"/>
      <c r="GC45" s="159"/>
      <c r="GD45" s="159"/>
      <c r="GE45" s="159"/>
      <c r="GF45" s="159"/>
      <c r="GG45" s="159"/>
      <c r="GH45" s="159"/>
      <c r="GI45" s="159"/>
      <c r="GJ45" s="159"/>
      <c r="GK45" s="159"/>
      <c r="GL45" s="159"/>
      <c r="GM45" s="159"/>
      <c r="GN45" s="159"/>
      <c r="GO45" s="159"/>
      <c r="GP45" s="159"/>
      <c r="GQ45" s="159"/>
      <c r="GR45" s="159"/>
      <c r="GS45" s="159"/>
      <c r="GT45" s="159"/>
      <c r="GU45" s="159"/>
      <c r="GV45" s="159"/>
      <c r="GW45" s="159"/>
      <c r="GX45" s="159"/>
      <c r="GY45" s="159"/>
      <c r="GZ45" s="159"/>
      <c r="HA45" s="159"/>
      <c r="HB45" s="159"/>
      <c r="HC45" s="159"/>
      <c r="HD45" s="159"/>
      <c r="HE45" s="159"/>
      <c r="HF45" s="159"/>
      <c r="HG45" s="159"/>
      <c r="HH45" s="159"/>
      <c r="HI45" s="159"/>
      <c r="HJ45" s="159"/>
      <c r="HK45" s="159"/>
      <c r="HL45" s="159"/>
      <c r="HM45" s="159"/>
      <c r="HN45" s="159"/>
      <c r="HO45" s="159"/>
      <c r="HP45" s="159"/>
      <c r="HQ45" s="159"/>
      <c r="HR45" s="159"/>
      <c r="HS45" s="159"/>
      <c r="HT45" s="159"/>
      <c r="HU45" s="159"/>
      <c r="HV45" s="159"/>
      <c r="HW45" s="159"/>
      <c r="HX45" s="159"/>
      <c r="HY45" s="159"/>
      <c r="HZ45" s="159"/>
      <c r="IA45" s="159"/>
      <c r="IB45" s="159"/>
      <c r="IC45" s="159"/>
      <c r="ID45" s="159"/>
      <c r="IE45" s="159"/>
      <c r="IF45" s="159"/>
      <c r="IG45" s="159"/>
      <c r="IH45" s="159"/>
      <c r="II45" s="159"/>
      <c r="IJ45" s="159"/>
      <c r="IK45" s="159"/>
      <c r="IL45" s="159"/>
      <c r="IM45" s="159"/>
      <c r="IN45" s="159"/>
      <c r="IO45" s="159"/>
      <c r="IP45" s="159"/>
      <c r="IQ45" s="159"/>
      <c r="IR45" s="159"/>
      <c r="IS45" s="159"/>
      <c r="IT45" s="159"/>
      <c r="IU45" s="159"/>
      <c r="IV45" s="159"/>
      <c r="IW45" s="159"/>
      <c r="IX45" s="159"/>
      <c r="IY45" s="159"/>
      <c r="IZ45" s="159"/>
      <c r="JA45" s="159"/>
      <c r="JB45" s="159"/>
      <c r="JC45" s="159"/>
      <c r="JD45" s="159"/>
      <c r="JE45" s="159"/>
      <c r="JF45" s="159"/>
      <c r="JG45" s="159"/>
      <c r="JH45" s="159"/>
      <c r="JI45" s="159"/>
      <c r="JJ45" s="159"/>
      <c r="JK45" s="159"/>
      <c r="JL45" s="159"/>
      <c r="JM45" s="159"/>
      <c r="JN45" s="159"/>
      <c r="JO45" s="159"/>
      <c r="JP45" s="159"/>
      <c r="JQ45" s="159"/>
      <c r="JR45" s="159"/>
      <c r="JS45" s="159"/>
      <c r="JT45" s="159"/>
      <c r="JU45" s="159"/>
      <c r="JV45" s="159"/>
      <c r="JW45" s="159"/>
      <c r="JX45" s="159"/>
      <c r="JY45" s="159"/>
      <c r="JZ45" s="159"/>
      <c r="KA45" s="159"/>
      <c r="KB45" s="159"/>
      <c r="KC45" s="159"/>
      <c r="KD45" s="159"/>
      <c r="KE45" s="159"/>
      <c r="KF45" s="159"/>
      <c r="KG45" s="159"/>
      <c r="KH45" s="159"/>
      <c r="KI45" s="159"/>
      <c r="KJ45" s="159"/>
      <c r="KK45" s="159"/>
      <c r="KL45" s="159"/>
      <c r="KM45" s="159"/>
      <c r="KN45" s="159"/>
      <c r="KO45" s="159"/>
      <c r="KP45" s="159"/>
      <c r="KQ45" s="159"/>
      <c r="KR45" s="159"/>
      <c r="KS45" s="159"/>
      <c r="KT45" s="159"/>
      <c r="KU45" s="159"/>
      <c r="KV45" s="159"/>
      <c r="KW45" s="159"/>
      <c r="KX45" s="159"/>
      <c r="KY45" s="159"/>
      <c r="KZ45" s="159"/>
      <c r="LA45" s="159"/>
      <c r="LB45" s="159"/>
      <c r="LC45" s="159"/>
      <c r="LD45" s="159"/>
      <c r="LE45" s="159"/>
      <c r="LF45" s="159"/>
      <c r="LG45" s="159"/>
      <c r="LH45" s="159"/>
      <c r="LI45" s="159"/>
      <c r="LJ45" s="159"/>
      <c r="LK45" s="159"/>
      <c r="LL45" s="159"/>
      <c r="LM45" s="159"/>
      <c r="LN45" s="159"/>
      <c r="LO45" s="159"/>
      <c r="LP45" s="159"/>
      <c r="LQ45" s="159"/>
      <c r="LR45" s="159"/>
      <c r="LS45" s="159"/>
      <c r="LT45" s="159"/>
      <c r="LU45" s="159"/>
      <c r="LV45" s="159"/>
      <c r="LW45" s="159"/>
      <c r="LX45" s="159"/>
      <c r="LY45" s="159"/>
      <c r="LZ45" s="159"/>
      <c r="MA45" s="159"/>
      <c r="MB45" s="159"/>
      <c r="MC45" s="159"/>
      <c r="MD45" s="159"/>
      <c r="ME45" s="159"/>
      <c r="MF45" s="159"/>
      <c r="MG45" s="159"/>
      <c r="MH45" s="159"/>
    </row>
    <row r="46" spans="1:346" s="160" customFormat="1" ht="13" x14ac:dyDescent="0.2">
      <c r="A46" s="158"/>
      <c r="B46" s="129" t="s">
        <v>346</v>
      </c>
      <c r="C46" s="129"/>
      <c r="D46" s="129"/>
      <c r="E46" s="129"/>
      <c r="F46" s="129"/>
      <c r="G46" s="129"/>
      <c r="H46" s="129"/>
      <c r="I46" s="129"/>
      <c r="J46" s="129"/>
      <c r="K46" s="129"/>
      <c r="L46" s="129"/>
      <c r="M46" s="129"/>
      <c r="N46" s="129" t="str">
        <f>IF(InputData=TRUE,SUM(N37:N40),"")</f>
        <v/>
      </c>
      <c r="O46" s="129" t="s">
        <v>127</v>
      </c>
      <c r="P46" s="138"/>
      <c r="Q46" s="158"/>
      <c r="R46" s="159"/>
      <c r="S46" s="159"/>
      <c r="T46" s="159"/>
      <c r="U46" s="159"/>
      <c r="V46" s="159"/>
      <c r="W46" s="159"/>
      <c r="X46" s="159"/>
      <c r="Y46" s="159"/>
      <c r="Z46" s="159"/>
      <c r="AA46" s="159"/>
      <c r="AB46" s="159"/>
      <c r="AC46" s="159"/>
      <c r="AD46" s="159"/>
      <c r="AE46" s="159"/>
      <c r="AF46" s="159"/>
      <c r="AG46" s="159"/>
      <c r="AH46" s="159"/>
      <c r="AI46" s="159"/>
      <c r="AJ46" s="159"/>
      <c r="AK46" s="159"/>
      <c r="AL46" s="159"/>
      <c r="AM46" s="159"/>
      <c r="AN46" s="159"/>
      <c r="AO46" s="159"/>
      <c r="AP46" s="159"/>
      <c r="AQ46" s="159"/>
      <c r="AR46" s="159"/>
      <c r="AS46" s="159"/>
      <c r="AT46" s="159"/>
      <c r="AU46" s="159"/>
      <c r="AV46" s="159"/>
      <c r="AW46" s="159"/>
      <c r="AX46" s="159"/>
      <c r="AY46" s="159"/>
      <c r="AZ46" s="159"/>
      <c r="BA46" s="159"/>
      <c r="BB46" s="159"/>
      <c r="BC46" s="159"/>
      <c r="BD46" s="159"/>
      <c r="BE46" s="159"/>
      <c r="BF46" s="159"/>
      <c r="BG46" s="159"/>
      <c r="BH46" s="159"/>
      <c r="BI46" s="159"/>
      <c r="BJ46" s="159"/>
      <c r="BK46" s="159"/>
      <c r="BL46" s="159"/>
      <c r="BM46" s="159"/>
      <c r="BN46" s="159"/>
      <c r="BO46" s="159"/>
      <c r="BP46" s="159"/>
      <c r="BQ46" s="159"/>
      <c r="BR46" s="159"/>
      <c r="BS46" s="159"/>
      <c r="BT46" s="159"/>
      <c r="BU46" s="159"/>
      <c r="BV46" s="159"/>
      <c r="BW46" s="159"/>
      <c r="BX46" s="159"/>
      <c r="BY46" s="159"/>
      <c r="BZ46" s="159"/>
      <c r="CA46" s="159"/>
      <c r="CB46" s="159"/>
      <c r="CC46" s="159"/>
      <c r="CD46" s="159"/>
      <c r="CE46" s="159"/>
      <c r="CF46" s="159"/>
      <c r="CG46" s="159"/>
      <c r="CH46" s="159"/>
      <c r="CI46" s="159"/>
      <c r="CJ46" s="159"/>
      <c r="CK46" s="159"/>
      <c r="CL46" s="159"/>
      <c r="CM46" s="159"/>
      <c r="CN46" s="159"/>
      <c r="CO46" s="159"/>
      <c r="CP46" s="159"/>
      <c r="CQ46" s="159"/>
      <c r="CR46" s="159"/>
      <c r="CS46" s="159"/>
      <c r="CT46" s="159"/>
      <c r="CU46" s="159"/>
      <c r="CV46" s="159"/>
      <c r="CW46" s="159"/>
      <c r="CX46" s="159"/>
      <c r="CY46" s="159"/>
      <c r="CZ46" s="159"/>
      <c r="DA46" s="159"/>
      <c r="DB46" s="159"/>
      <c r="DC46" s="159"/>
      <c r="DD46" s="159"/>
      <c r="DE46" s="159"/>
      <c r="DF46" s="159"/>
      <c r="DG46" s="159"/>
      <c r="DH46" s="159"/>
      <c r="DI46" s="159"/>
      <c r="DJ46" s="159"/>
      <c r="DK46" s="159"/>
      <c r="DL46" s="159"/>
      <c r="DM46" s="159"/>
      <c r="DN46" s="159"/>
      <c r="DO46" s="159"/>
      <c r="DP46" s="159"/>
      <c r="DQ46" s="159"/>
      <c r="DR46" s="159"/>
      <c r="DS46" s="159"/>
      <c r="DT46" s="159"/>
      <c r="DU46" s="159"/>
      <c r="DV46" s="159"/>
      <c r="DW46" s="159"/>
      <c r="DX46" s="159"/>
      <c r="DY46" s="159"/>
      <c r="DZ46" s="159"/>
      <c r="EA46" s="159"/>
      <c r="EB46" s="159"/>
      <c r="EC46" s="159"/>
      <c r="ED46" s="159"/>
      <c r="EE46" s="159"/>
      <c r="EF46" s="159"/>
      <c r="EG46" s="159"/>
      <c r="EH46" s="159"/>
      <c r="EI46" s="159"/>
      <c r="EJ46" s="159"/>
      <c r="EK46" s="159"/>
      <c r="EL46" s="159"/>
      <c r="EM46" s="159"/>
      <c r="EN46" s="159"/>
      <c r="EO46" s="159"/>
      <c r="EP46" s="159"/>
      <c r="EQ46" s="159"/>
      <c r="ER46" s="159"/>
      <c r="ES46" s="159"/>
      <c r="ET46" s="159"/>
      <c r="EU46" s="159"/>
      <c r="EV46" s="159"/>
      <c r="EW46" s="159"/>
      <c r="EX46" s="159"/>
      <c r="EY46" s="159"/>
      <c r="EZ46" s="159"/>
      <c r="FA46" s="159"/>
      <c r="FB46" s="159"/>
      <c r="FC46" s="159"/>
      <c r="FD46" s="159"/>
      <c r="FE46" s="159"/>
      <c r="FF46" s="159"/>
      <c r="FG46" s="159"/>
      <c r="FH46" s="159"/>
      <c r="FI46" s="159"/>
      <c r="FJ46" s="159"/>
      <c r="FK46" s="159"/>
      <c r="FL46" s="159"/>
      <c r="FM46" s="159"/>
      <c r="FN46" s="159"/>
      <c r="FO46" s="159"/>
      <c r="FP46" s="159"/>
      <c r="FQ46" s="159"/>
      <c r="FR46" s="159"/>
      <c r="FS46" s="159"/>
      <c r="FT46" s="159"/>
      <c r="FU46" s="159"/>
      <c r="FV46" s="159"/>
      <c r="FW46" s="159"/>
      <c r="FX46" s="159"/>
      <c r="FY46" s="159"/>
      <c r="FZ46" s="159"/>
      <c r="GA46" s="159"/>
      <c r="GB46" s="159"/>
      <c r="GC46" s="159"/>
      <c r="GD46" s="159"/>
      <c r="GE46" s="159"/>
      <c r="GF46" s="159"/>
      <c r="GG46" s="159"/>
      <c r="GH46" s="159"/>
      <c r="GI46" s="159"/>
      <c r="GJ46" s="159"/>
      <c r="GK46" s="159"/>
      <c r="GL46" s="159"/>
      <c r="GM46" s="159"/>
      <c r="GN46" s="159"/>
      <c r="GO46" s="159"/>
      <c r="GP46" s="159"/>
      <c r="GQ46" s="159"/>
      <c r="GR46" s="159"/>
      <c r="GS46" s="159"/>
      <c r="GT46" s="159"/>
      <c r="GU46" s="159"/>
      <c r="GV46" s="159"/>
      <c r="GW46" s="159"/>
      <c r="GX46" s="159"/>
      <c r="GY46" s="159"/>
      <c r="GZ46" s="159"/>
      <c r="HA46" s="159"/>
      <c r="HB46" s="159"/>
      <c r="HC46" s="159"/>
      <c r="HD46" s="159"/>
      <c r="HE46" s="159"/>
      <c r="HF46" s="159"/>
      <c r="HG46" s="159"/>
      <c r="HH46" s="159"/>
      <c r="HI46" s="159"/>
      <c r="HJ46" s="159"/>
      <c r="HK46" s="159"/>
      <c r="HL46" s="159"/>
      <c r="HM46" s="159"/>
      <c r="HN46" s="159"/>
      <c r="HO46" s="159"/>
      <c r="HP46" s="159"/>
      <c r="HQ46" s="159"/>
      <c r="HR46" s="159"/>
      <c r="HS46" s="159"/>
      <c r="HT46" s="159"/>
      <c r="HU46" s="159"/>
      <c r="HV46" s="159"/>
      <c r="HW46" s="159"/>
      <c r="HX46" s="159"/>
      <c r="HY46" s="159"/>
      <c r="HZ46" s="159"/>
      <c r="IA46" s="159"/>
      <c r="IB46" s="159"/>
      <c r="IC46" s="159"/>
      <c r="ID46" s="159"/>
      <c r="IE46" s="159"/>
      <c r="IF46" s="159"/>
      <c r="IG46" s="159"/>
      <c r="IH46" s="159"/>
      <c r="II46" s="159"/>
      <c r="IJ46" s="159"/>
      <c r="IK46" s="159"/>
      <c r="IL46" s="159"/>
      <c r="IM46" s="159"/>
      <c r="IN46" s="159"/>
      <c r="IO46" s="159"/>
      <c r="IP46" s="159"/>
      <c r="IQ46" s="159"/>
      <c r="IR46" s="159"/>
      <c r="IS46" s="159"/>
      <c r="IT46" s="159"/>
      <c r="IU46" s="159"/>
      <c r="IV46" s="159"/>
      <c r="IW46" s="159"/>
      <c r="IX46" s="159"/>
      <c r="IY46" s="159"/>
      <c r="IZ46" s="159"/>
      <c r="JA46" s="159"/>
      <c r="JB46" s="159"/>
      <c r="JC46" s="159"/>
      <c r="JD46" s="159"/>
      <c r="JE46" s="159"/>
      <c r="JF46" s="159"/>
      <c r="JG46" s="159"/>
      <c r="JH46" s="159"/>
      <c r="JI46" s="159"/>
      <c r="JJ46" s="159"/>
      <c r="JK46" s="159"/>
      <c r="JL46" s="159"/>
      <c r="JM46" s="159"/>
      <c r="JN46" s="159"/>
      <c r="JO46" s="159"/>
      <c r="JP46" s="159"/>
      <c r="JQ46" s="159"/>
      <c r="JR46" s="159"/>
      <c r="JS46" s="159"/>
      <c r="JT46" s="159"/>
      <c r="JU46" s="159"/>
      <c r="JV46" s="159"/>
      <c r="JW46" s="159"/>
      <c r="JX46" s="159"/>
      <c r="JY46" s="159"/>
      <c r="JZ46" s="159"/>
      <c r="KA46" s="159"/>
      <c r="KB46" s="159"/>
      <c r="KC46" s="159"/>
      <c r="KD46" s="159"/>
      <c r="KE46" s="159"/>
      <c r="KF46" s="159"/>
      <c r="KG46" s="159"/>
      <c r="KH46" s="159"/>
      <c r="KI46" s="159"/>
      <c r="KJ46" s="159"/>
      <c r="KK46" s="159"/>
      <c r="KL46" s="159"/>
      <c r="KM46" s="159"/>
      <c r="KN46" s="159"/>
      <c r="KO46" s="159"/>
      <c r="KP46" s="159"/>
      <c r="KQ46" s="159"/>
      <c r="KR46" s="159"/>
      <c r="KS46" s="159"/>
      <c r="KT46" s="159"/>
      <c r="KU46" s="159"/>
      <c r="KV46" s="159"/>
      <c r="KW46" s="159"/>
      <c r="KX46" s="159"/>
      <c r="KY46" s="159"/>
      <c r="KZ46" s="159"/>
      <c r="LA46" s="159"/>
      <c r="LB46" s="159"/>
      <c r="LC46" s="159"/>
      <c r="LD46" s="159"/>
      <c r="LE46" s="159"/>
      <c r="LF46" s="159"/>
      <c r="LG46" s="159"/>
      <c r="LH46" s="159"/>
      <c r="LI46" s="159"/>
      <c r="LJ46" s="159"/>
      <c r="LK46" s="159"/>
      <c r="LL46" s="159"/>
      <c r="LM46" s="159"/>
      <c r="LN46" s="159"/>
      <c r="LO46" s="159"/>
      <c r="LP46" s="159"/>
      <c r="LQ46" s="159"/>
      <c r="LR46" s="159"/>
      <c r="LS46" s="159"/>
      <c r="LT46" s="159"/>
      <c r="LU46" s="159"/>
      <c r="LV46" s="159"/>
      <c r="LW46" s="159"/>
      <c r="LX46" s="159"/>
      <c r="LY46" s="159"/>
      <c r="LZ46" s="159"/>
      <c r="MA46" s="159"/>
      <c r="MB46" s="159"/>
      <c r="MC46" s="159"/>
      <c r="MD46" s="159"/>
      <c r="ME46" s="159"/>
      <c r="MF46" s="159"/>
      <c r="MG46" s="159"/>
      <c r="MH46" s="159"/>
    </row>
    <row r="47" spans="1:346" s="160" customFormat="1" ht="13" x14ac:dyDescent="0.2">
      <c r="A47" s="158"/>
      <c r="B47" s="129" t="s">
        <v>347</v>
      </c>
      <c r="C47" s="129"/>
      <c r="D47" s="129"/>
      <c r="E47" s="129"/>
      <c r="F47" s="129"/>
      <c r="G47" s="129"/>
      <c r="H47" s="129"/>
      <c r="I47" s="129"/>
      <c r="J47" s="129"/>
      <c r="K47" s="129"/>
      <c r="L47" s="129"/>
      <c r="M47" s="129"/>
      <c r="N47" s="129" t="str">
        <f>IF(InputData=TRUE,(N46*12),"")</f>
        <v/>
      </c>
      <c r="O47" s="129" t="s">
        <v>127</v>
      </c>
      <c r="P47" s="138"/>
      <c r="Q47" s="158"/>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c r="BI47" s="159"/>
      <c r="BJ47" s="159"/>
      <c r="BK47" s="159"/>
      <c r="BL47" s="159"/>
      <c r="BM47" s="159"/>
      <c r="BN47" s="159"/>
      <c r="BO47" s="159"/>
      <c r="BP47" s="159"/>
      <c r="BQ47" s="159"/>
      <c r="BR47" s="159"/>
      <c r="BS47" s="159"/>
      <c r="BT47" s="159"/>
      <c r="BU47" s="159"/>
      <c r="BV47" s="159"/>
      <c r="BW47" s="159"/>
      <c r="BX47" s="159"/>
      <c r="BY47" s="159"/>
      <c r="BZ47" s="159"/>
      <c r="CA47" s="159"/>
      <c r="CB47" s="159"/>
      <c r="CC47" s="159"/>
      <c r="CD47" s="159"/>
      <c r="CE47" s="159"/>
      <c r="CF47" s="159"/>
      <c r="CG47" s="159"/>
      <c r="CH47" s="159"/>
      <c r="CI47" s="159"/>
      <c r="CJ47" s="159"/>
      <c r="CK47" s="159"/>
      <c r="CL47" s="159"/>
      <c r="CM47" s="159"/>
      <c r="CN47" s="159"/>
      <c r="CO47" s="159"/>
      <c r="CP47" s="159"/>
      <c r="CQ47" s="159"/>
      <c r="CR47" s="159"/>
      <c r="CS47" s="159"/>
      <c r="CT47" s="159"/>
      <c r="CU47" s="159"/>
      <c r="CV47" s="159"/>
      <c r="CW47" s="159"/>
      <c r="CX47" s="159"/>
      <c r="CY47" s="159"/>
      <c r="CZ47" s="159"/>
      <c r="DA47" s="159"/>
      <c r="DB47" s="159"/>
      <c r="DC47" s="159"/>
      <c r="DD47" s="159"/>
      <c r="DE47" s="159"/>
      <c r="DF47" s="159"/>
      <c r="DG47" s="159"/>
      <c r="DH47" s="159"/>
      <c r="DI47" s="159"/>
      <c r="DJ47" s="159"/>
      <c r="DK47" s="159"/>
      <c r="DL47" s="159"/>
      <c r="DM47" s="159"/>
      <c r="DN47" s="159"/>
      <c r="DO47" s="159"/>
      <c r="DP47" s="159"/>
      <c r="DQ47" s="159"/>
      <c r="DR47" s="159"/>
      <c r="DS47" s="159"/>
      <c r="DT47" s="159"/>
      <c r="DU47" s="159"/>
      <c r="DV47" s="159"/>
      <c r="DW47" s="159"/>
      <c r="DX47" s="159"/>
      <c r="DY47" s="159"/>
      <c r="DZ47" s="159"/>
      <c r="EA47" s="159"/>
      <c r="EB47" s="159"/>
      <c r="EC47" s="159"/>
      <c r="ED47" s="159"/>
      <c r="EE47" s="159"/>
      <c r="EF47" s="159"/>
      <c r="EG47" s="159"/>
      <c r="EH47" s="159"/>
      <c r="EI47" s="159"/>
      <c r="EJ47" s="159"/>
      <c r="EK47" s="159"/>
      <c r="EL47" s="159"/>
      <c r="EM47" s="159"/>
      <c r="EN47" s="159"/>
      <c r="EO47" s="159"/>
      <c r="EP47" s="159"/>
      <c r="EQ47" s="159"/>
      <c r="ER47" s="159"/>
      <c r="ES47" s="159"/>
      <c r="ET47" s="159"/>
      <c r="EU47" s="159"/>
      <c r="EV47" s="159"/>
      <c r="EW47" s="159"/>
      <c r="EX47" s="159"/>
      <c r="EY47" s="159"/>
      <c r="EZ47" s="159"/>
      <c r="FA47" s="159"/>
      <c r="FB47" s="159"/>
      <c r="FC47" s="159"/>
      <c r="FD47" s="159"/>
      <c r="FE47" s="159"/>
      <c r="FF47" s="159"/>
      <c r="FG47" s="159"/>
      <c r="FH47" s="159"/>
      <c r="FI47" s="159"/>
      <c r="FJ47" s="159"/>
      <c r="FK47" s="159"/>
      <c r="FL47" s="159"/>
      <c r="FM47" s="159"/>
      <c r="FN47" s="159"/>
      <c r="FO47" s="159"/>
      <c r="FP47" s="159"/>
      <c r="FQ47" s="159"/>
      <c r="FR47" s="159"/>
      <c r="FS47" s="159"/>
      <c r="FT47" s="159"/>
      <c r="FU47" s="159"/>
      <c r="FV47" s="159"/>
      <c r="FW47" s="159"/>
      <c r="FX47" s="159"/>
      <c r="FY47" s="159"/>
      <c r="FZ47" s="159"/>
      <c r="GA47" s="159"/>
      <c r="GB47" s="159"/>
      <c r="GC47" s="159"/>
      <c r="GD47" s="159"/>
      <c r="GE47" s="159"/>
      <c r="GF47" s="159"/>
      <c r="GG47" s="159"/>
      <c r="GH47" s="159"/>
      <c r="GI47" s="159"/>
      <c r="GJ47" s="159"/>
      <c r="GK47" s="159"/>
      <c r="GL47" s="159"/>
      <c r="GM47" s="159"/>
      <c r="GN47" s="159"/>
      <c r="GO47" s="159"/>
      <c r="GP47" s="159"/>
      <c r="GQ47" s="159"/>
      <c r="GR47" s="159"/>
      <c r="GS47" s="159"/>
      <c r="GT47" s="159"/>
      <c r="GU47" s="159"/>
      <c r="GV47" s="159"/>
      <c r="GW47" s="159"/>
      <c r="GX47" s="159"/>
      <c r="GY47" s="159"/>
      <c r="GZ47" s="159"/>
      <c r="HA47" s="159"/>
      <c r="HB47" s="159"/>
      <c r="HC47" s="159"/>
      <c r="HD47" s="159"/>
      <c r="HE47" s="159"/>
      <c r="HF47" s="159"/>
      <c r="HG47" s="159"/>
      <c r="HH47" s="159"/>
      <c r="HI47" s="159"/>
      <c r="HJ47" s="159"/>
      <c r="HK47" s="159"/>
      <c r="HL47" s="159"/>
      <c r="HM47" s="159"/>
      <c r="HN47" s="159"/>
      <c r="HO47" s="159"/>
      <c r="HP47" s="159"/>
      <c r="HQ47" s="159"/>
      <c r="HR47" s="159"/>
      <c r="HS47" s="159"/>
      <c r="HT47" s="159"/>
      <c r="HU47" s="159"/>
      <c r="HV47" s="159"/>
      <c r="HW47" s="159"/>
      <c r="HX47" s="159"/>
      <c r="HY47" s="159"/>
      <c r="HZ47" s="159"/>
      <c r="IA47" s="159"/>
      <c r="IB47" s="159"/>
      <c r="IC47" s="159"/>
      <c r="ID47" s="159"/>
      <c r="IE47" s="159"/>
      <c r="IF47" s="159"/>
      <c r="IG47" s="159"/>
      <c r="IH47" s="159"/>
      <c r="II47" s="159"/>
      <c r="IJ47" s="159"/>
      <c r="IK47" s="159"/>
      <c r="IL47" s="159"/>
      <c r="IM47" s="159"/>
      <c r="IN47" s="159"/>
      <c r="IO47" s="159"/>
      <c r="IP47" s="159"/>
      <c r="IQ47" s="159"/>
      <c r="IR47" s="159"/>
      <c r="IS47" s="159"/>
      <c r="IT47" s="159"/>
      <c r="IU47" s="159"/>
      <c r="IV47" s="159"/>
      <c r="IW47" s="159"/>
      <c r="IX47" s="159"/>
      <c r="IY47" s="159"/>
      <c r="IZ47" s="159"/>
      <c r="JA47" s="159"/>
      <c r="JB47" s="159"/>
      <c r="JC47" s="159"/>
      <c r="JD47" s="159"/>
      <c r="JE47" s="159"/>
      <c r="JF47" s="159"/>
      <c r="JG47" s="159"/>
      <c r="JH47" s="159"/>
      <c r="JI47" s="159"/>
      <c r="JJ47" s="159"/>
      <c r="JK47" s="159"/>
      <c r="JL47" s="159"/>
      <c r="JM47" s="159"/>
      <c r="JN47" s="159"/>
      <c r="JO47" s="159"/>
      <c r="JP47" s="159"/>
      <c r="JQ47" s="159"/>
      <c r="JR47" s="159"/>
      <c r="JS47" s="159"/>
      <c r="JT47" s="159"/>
      <c r="JU47" s="159"/>
      <c r="JV47" s="159"/>
      <c r="JW47" s="159"/>
      <c r="JX47" s="159"/>
      <c r="JY47" s="159"/>
      <c r="JZ47" s="159"/>
      <c r="KA47" s="159"/>
      <c r="KB47" s="159"/>
      <c r="KC47" s="159"/>
      <c r="KD47" s="159"/>
      <c r="KE47" s="159"/>
      <c r="KF47" s="159"/>
      <c r="KG47" s="159"/>
      <c r="KH47" s="159"/>
      <c r="KI47" s="159"/>
      <c r="KJ47" s="159"/>
      <c r="KK47" s="159"/>
      <c r="KL47" s="159"/>
      <c r="KM47" s="159"/>
      <c r="KN47" s="159"/>
      <c r="KO47" s="159"/>
      <c r="KP47" s="159"/>
      <c r="KQ47" s="159"/>
      <c r="KR47" s="159"/>
      <c r="KS47" s="159"/>
      <c r="KT47" s="159"/>
      <c r="KU47" s="159"/>
      <c r="KV47" s="159"/>
      <c r="KW47" s="159"/>
      <c r="KX47" s="159"/>
      <c r="KY47" s="159"/>
      <c r="KZ47" s="159"/>
      <c r="LA47" s="159"/>
      <c r="LB47" s="159"/>
      <c r="LC47" s="159"/>
      <c r="LD47" s="159"/>
      <c r="LE47" s="159"/>
      <c r="LF47" s="159"/>
      <c r="LG47" s="159"/>
      <c r="LH47" s="159"/>
      <c r="LI47" s="159"/>
      <c r="LJ47" s="159"/>
      <c r="LK47" s="159"/>
      <c r="LL47" s="159"/>
      <c r="LM47" s="159"/>
      <c r="LN47" s="159"/>
      <c r="LO47" s="159"/>
      <c r="LP47" s="159"/>
      <c r="LQ47" s="159"/>
      <c r="LR47" s="159"/>
      <c r="LS47" s="159"/>
      <c r="LT47" s="159"/>
      <c r="LU47" s="159"/>
      <c r="LV47" s="159"/>
      <c r="LW47" s="159"/>
      <c r="LX47" s="159"/>
      <c r="LY47" s="159"/>
      <c r="LZ47" s="159"/>
      <c r="MA47" s="159"/>
      <c r="MB47" s="159"/>
      <c r="MC47" s="159"/>
      <c r="MD47" s="159"/>
      <c r="ME47" s="159"/>
      <c r="MF47" s="159"/>
      <c r="MG47" s="159"/>
      <c r="MH47" s="159"/>
    </row>
    <row r="48" spans="1:346" s="160" customFormat="1" ht="13" x14ac:dyDescent="0.2">
      <c r="A48" s="158"/>
      <c r="B48" s="129" t="s">
        <v>357</v>
      </c>
      <c r="C48" s="129"/>
      <c r="D48" s="129"/>
      <c r="E48" s="129"/>
      <c r="F48" s="129"/>
      <c r="G48" s="129"/>
      <c r="H48" s="129"/>
      <c r="I48" s="129"/>
      <c r="J48" s="129"/>
      <c r="K48" s="129"/>
      <c r="L48" s="129"/>
      <c r="M48" s="129"/>
      <c r="N48" s="129" t="e">
        <f>N46/C8</f>
        <v>#VALUE!</v>
      </c>
      <c r="O48" s="129" t="s">
        <v>127</v>
      </c>
      <c r="P48" s="138"/>
      <c r="Q48" s="158"/>
      <c r="R48" s="159"/>
      <c r="S48" s="159"/>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c r="BI48" s="159"/>
      <c r="BJ48" s="159"/>
      <c r="BK48" s="159"/>
      <c r="BL48" s="159"/>
      <c r="BM48" s="159"/>
      <c r="BN48" s="159"/>
      <c r="BO48" s="159"/>
      <c r="BP48" s="159"/>
      <c r="BQ48" s="159"/>
      <c r="BR48" s="159"/>
      <c r="BS48" s="159"/>
      <c r="BT48" s="159"/>
      <c r="BU48" s="159"/>
      <c r="BV48" s="159"/>
      <c r="BW48" s="159"/>
      <c r="BX48" s="159"/>
      <c r="BY48" s="159"/>
      <c r="BZ48" s="159"/>
      <c r="CA48" s="159"/>
      <c r="CB48" s="159"/>
      <c r="CC48" s="159"/>
      <c r="CD48" s="159"/>
      <c r="CE48" s="159"/>
      <c r="CF48" s="159"/>
      <c r="CG48" s="159"/>
      <c r="CH48" s="159"/>
      <c r="CI48" s="159"/>
      <c r="CJ48" s="159"/>
      <c r="CK48" s="159"/>
      <c r="CL48" s="159"/>
      <c r="CM48" s="159"/>
      <c r="CN48" s="159"/>
      <c r="CO48" s="159"/>
      <c r="CP48" s="159"/>
      <c r="CQ48" s="159"/>
      <c r="CR48" s="159"/>
      <c r="CS48" s="159"/>
      <c r="CT48" s="159"/>
      <c r="CU48" s="159"/>
      <c r="CV48" s="159"/>
      <c r="CW48" s="159"/>
      <c r="CX48" s="159"/>
      <c r="CY48" s="159"/>
      <c r="CZ48" s="159"/>
      <c r="DA48" s="159"/>
      <c r="DB48" s="159"/>
      <c r="DC48" s="159"/>
      <c r="DD48" s="159"/>
      <c r="DE48" s="159"/>
      <c r="DF48" s="159"/>
      <c r="DG48" s="159"/>
      <c r="DH48" s="159"/>
      <c r="DI48" s="159"/>
      <c r="DJ48" s="159"/>
      <c r="DK48" s="159"/>
      <c r="DL48" s="159"/>
      <c r="DM48" s="159"/>
      <c r="DN48" s="159"/>
      <c r="DO48" s="159"/>
      <c r="DP48" s="159"/>
      <c r="DQ48" s="159"/>
      <c r="DR48" s="159"/>
      <c r="DS48" s="159"/>
      <c r="DT48" s="159"/>
      <c r="DU48" s="159"/>
      <c r="DV48" s="159"/>
      <c r="DW48" s="159"/>
      <c r="DX48" s="159"/>
      <c r="DY48" s="159"/>
      <c r="DZ48" s="159"/>
      <c r="EA48" s="159"/>
      <c r="EB48" s="159"/>
      <c r="EC48" s="159"/>
      <c r="ED48" s="159"/>
      <c r="EE48" s="159"/>
      <c r="EF48" s="159"/>
      <c r="EG48" s="159"/>
      <c r="EH48" s="159"/>
      <c r="EI48" s="159"/>
      <c r="EJ48" s="159"/>
      <c r="EK48" s="159"/>
      <c r="EL48" s="159"/>
      <c r="EM48" s="159"/>
      <c r="EN48" s="159"/>
      <c r="EO48" s="159"/>
      <c r="EP48" s="159"/>
      <c r="EQ48" s="159"/>
      <c r="ER48" s="159"/>
      <c r="ES48" s="159"/>
      <c r="ET48" s="159"/>
      <c r="EU48" s="159"/>
      <c r="EV48" s="159"/>
      <c r="EW48" s="159"/>
      <c r="EX48" s="159"/>
      <c r="EY48" s="159"/>
      <c r="EZ48" s="159"/>
      <c r="FA48" s="159"/>
      <c r="FB48" s="159"/>
      <c r="FC48" s="159"/>
      <c r="FD48" s="159"/>
      <c r="FE48" s="159"/>
      <c r="FF48" s="159"/>
      <c r="FG48" s="159"/>
      <c r="FH48" s="159"/>
      <c r="FI48" s="159"/>
      <c r="FJ48" s="159"/>
      <c r="FK48" s="159"/>
      <c r="FL48" s="159"/>
      <c r="FM48" s="159"/>
      <c r="FN48" s="159"/>
      <c r="FO48" s="159"/>
      <c r="FP48" s="159"/>
      <c r="FQ48" s="159"/>
      <c r="FR48" s="159"/>
      <c r="FS48" s="159"/>
      <c r="FT48" s="159"/>
      <c r="FU48" s="159"/>
      <c r="FV48" s="159"/>
      <c r="FW48" s="159"/>
      <c r="FX48" s="159"/>
      <c r="FY48" s="159"/>
      <c r="FZ48" s="159"/>
      <c r="GA48" s="159"/>
      <c r="GB48" s="159"/>
      <c r="GC48" s="159"/>
      <c r="GD48" s="159"/>
      <c r="GE48" s="159"/>
      <c r="GF48" s="159"/>
      <c r="GG48" s="159"/>
      <c r="GH48" s="159"/>
      <c r="GI48" s="159"/>
      <c r="GJ48" s="159"/>
      <c r="GK48" s="159"/>
      <c r="GL48" s="159"/>
      <c r="GM48" s="159"/>
      <c r="GN48" s="159"/>
      <c r="GO48" s="159"/>
      <c r="GP48" s="159"/>
      <c r="GQ48" s="159"/>
      <c r="GR48" s="159"/>
      <c r="GS48" s="159"/>
      <c r="GT48" s="159"/>
      <c r="GU48" s="159"/>
      <c r="GV48" s="159"/>
      <c r="GW48" s="159"/>
      <c r="GX48" s="159"/>
      <c r="GY48" s="159"/>
      <c r="GZ48" s="159"/>
      <c r="HA48" s="159"/>
      <c r="HB48" s="159"/>
      <c r="HC48" s="159"/>
      <c r="HD48" s="159"/>
      <c r="HE48" s="159"/>
      <c r="HF48" s="159"/>
      <c r="HG48" s="159"/>
      <c r="HH48" s="159"/>
      <c r="HI48" s="159"/>
      <c r="HJ48" s="159"/>
      <c r="HK48" s="159"/>
      <c r="HL48" s="159"/>
      <c r="HM48" s="159"/>
      <c r="HN48" s="159"/>
      <c r="HO48" s="159"/>
      <c r="HP48" s="159"/>
      <c r="HQ48" s="159"/>
      <c r="HR48" s="159"/>
      <c r="HS48" s="159"/>
      <c r="HT48" s="159"/>
      <c r="HU48" s="159"/>
      <c r="HV48" s="159"/>
      <c r="HW48" s="159"/>
      <c r="HX48" s="159"/>
      <c r="HY48" s="159"/>
      <c r="HZ48" s="159"/>
      <c r="IA48" s="159"/>
      <c r="IB48" s="159"/>
      <c r="IC48" s="159"/>
      <c r="ID48" s="159"/>
      <c r="IE48" s="159"/>
      <c r="IF48" s="159"/>
      <c r="IG48" s="159"/>
      <c r="IH48" s="159"/>
      <c r="II48" s="159"/>
      <c r="IJ48" s="159"/>
      <c r="IK48" s="159"/>
      <c r="IL48" s="159"/>
      <c r="IM48" s="159"/>
      <c r="IN48" s="159"/>
      <c r="IO48" s="159"/>
      <c r="IP48" s="159"/>
      <c r="IQ48" s="159"/>
      <c r="IR48" s="159"/>
      <c r="IS48" s="159"/>
      <c r="IT48" s="159"/>
      <c r="IU48" s="159"/>
      <c r="IV48" s="159"/>
      <c r="IW48" s="159"/>
      <c r="IX48" s="159"/>
      <c r="IY48" s="159"/>
      <c r="IZ48" s="159"/>
      <c r="JA48" s="159"/>
      <c r="JB48" s="159"/>
      <c r="JC48" s="159"/>
      <c r="JD48" s="159"/>
      <c r="JE48" s="159"/>
      <c r="JF48" s="159"/>
      <c r="JG48" s="159"/>
      <c r="JH48" s="159"/>
      <c r="JI48" s="159"/>
      <c r="JJ48" s="159"/>
      <c r="JK48" s="159"/>
      <c r="JL48" s="159"/>
      <c r="JM48" s="159"/>
      <c r="JN48" s="159"/>
      <c r="JO48" s="159"/>
      <c r="JP48" s="159"/>
      <c r="JQ48" s="159"/>
      <c r="JR48" s="159"/>
      <c r="JS48" s="159"/>
      <c r="JT48" s="159"/>
      <c r="JU48" s="159"/>
      <c r="JV48" s="159"/>
      <c r="JW48" s="159"/>
      <c r="JX48" s="159"/>
      <c r="JY48" s="159"/>
      <c r="JZ48" s="159"/>
      <c r="KA48" s="159"/>
      <c r="KB48" s="159"/>
      <c r="KC48" s="159"/>
      <c r="KD48" s="159"/>
      <c r="KE48" s="159"/>
      <c r="KF48" s="159"/>
      <c r="KG48" s="159"/>
      <c r="KH48" s="159"/>
      <c r="KI48" s="159"/>
      <c r="KJ48" s="159"/>
      <c r="KK48" s="159"/>
      <c r="KL48" s="159"/>
      <c r="KM48" s="159"/>
      <c r="KN48" s="159"/>
      <c r="KO48" s="159"/>
      <c r="KP48" s="159"/>
      <c r="KQ48" s="159"/>
      <c r="KR48" s="159"/>
      <c r="KS48" s="159"/>
      <c r="KT48" s="159"/>
      <c r="KU48" s="159"/>
      <c r="KV48" s="159"/>
      <c r="KW48" s="159"/>
      <c r="KX48" s="159"/>
      <c r="KY48" s="159"/>
      <c r="KZ48" s="159"/>
      <c r="LA48" s="159"/>
      <c r="LB48" s="159"/>
      <c r="LC48" s="159"/>
      <c r="LD48" s="159"/>
      <c r="LE48" s="159"/>
      <c r="LF48" s="159"/>
      <c r="LG48" s="159"/>
      <c r="LH48" s="159"/>
      <c r="LI48" s="159"/>
      <c r="LJ48" s="159"/>
      <c r="LK48" s="159"/>
      <c r="LL48" s="159"/>
      <c r="LM48" s="159"/>
      <c r="LN48" s="159"/>
      <c r="LO48" s="159"/>
      <c r="LP48" s="159"/>
      <c r="LQ48" s="159"/>
      <c r="LR48" s="159"/>
      <c r="LS48" s="159"/>
      <c r="LT48" s="159"/>
      <c r="LU48" s="159"/>
      <c r="LV48" s="159"/>
      <c r="LW48" s="159"/>
      <c r="LX48" s="159"/>
      <c r="LY48" s="159"/>
      <c r="LZ48" s="159"/>
      <c r="MA48" s="159"/>
      <c r="MB48" s="159"/>
      <c r="MC48" s="159"/>
      <c r="MD48" s="159"/>
      <c r="ME48" s="159"/>
      <c r="MF48" s="159"/>
      <c r="MG48" s="159"/>
      <c r="MH48" s="159"/>
    </row>
    <row r="49" spans="1:346" s="160" customFormat="1" ht="13" x14ac:dyDescent="0.2">
      <c r="A49" s="158"/>
      <c r="B49" s="129" t="s">
        <v>190</v>
      </c>
      <c r="C49" s="138"/>
      <c r="D49" s="138"/>
      <c r="E49" s="138"/>
      <c r="F49" s="138"/>
      <c r="G49" s="138"/>
      <c r="H49" s="138"/>
      <c r="I49" s="138"/>
      <c r="J49" s="138"/>
      <c r="K49" s="138"/>
      <c r="L49" s="138"/>
      <c r="M49" s="138"/>
      <c r="N49" s="129" t="str">
        <f>IF(InputData=TRUE,(N46/No_Cameras),"")</f>
        <v/>
      </c>
      <c r="O49" s="129" t="s">
        <v>127</v>
      </c>
      <c r="P49" s="138"/>
      <c r="Q49" s="158"/>
      <c r="R49" s="159"/>
      <c r="S49" s="159"/>
      <c r="T49" s="159"/>
      <c r="U49" s="159"/>
      <c r="V49" s="159"/>
      <c r="W49" s="159"/>
      <c r="X49" s="159"/>
      <c r="Y49" s="159"/>
      <c r="Z49" s="159"/>
      <c r="AA49" s="159"/>
      <c r="AB49" s="159"/>
      <c r="AC49" s="159"/>
      <c r="AD49" s="159"/>
      <c r="AE49" s="159"/>
      <c r="AF49" s="159"/>
      <c r="AG49" s="159"/>
      <c r="AH49" s="159"/>
      <c r="AI49" s="159"/>
      <c r="AJ49" s="159"/>
      <c r="AK49" s="159"/>
      <c r="AL49" s="159"/>
      <c r="AM49" s="159"/>
      <c r="AN49" s="159"/>
      <c r="AO49" s="159"/>
      <c r="AP49" s="159"/>
      <c r="AQ49" s="159"/>
      <c r="AR49" s="159"/>
      <c r="AS49" s="159"/>
      <c r="AT49" s="159"/>
      <c r="AU49" s="159"/>
      <c r="AV49" s="159"/>
      <c r="AW49" s="159"/>
      <c r="AX49" s="159"/>
      <c r="AY49" s="159"/>
      <c r="AZ49" s="159"/>
      <c r="BA49" s="159"/>
      <c r="BB49" s="159"/>
      <c r="BC49" s="159"/>
      <c r="BD49" s="159"/>
      <c r="BE49" s="159"/>
      <c r="BF49" s="159"/>
      <c r="BG49" s="159"/>
      <c r="BH49" s="159"/>
      <c r="BI49" s="159"/>
      <c r="BJ49" s="159"/>
      <c r="BK49" s="159"/>
      <c r="BL49" s="159"/>
      <c r="BM49" s="159"/>
      <c r="BN49" s="159"/>
      <c r="BO49" s="159"/>
      <c r="BP49" s="159"/>
      <c r="BQ49" s="159"/>
      <c r="BR49" s="159"/>
      <c r="BS49" s="159"/>
      <c r="BT49" s="159"/>
      <c r="BU49" s="159"/>
      <c r="BV49" s="159"/>
      <c r="BW49" s="159"/>
      <c r="BX49" s="159"/>
      <c r="BY49" s="159"/>
      <c r="BZ49" s="159"/>
      <c r="CA49" s="159"/>
      <c r="CB49" s="159"/>
      <c r="CC49" s="159"/>
      <c r="CD49" s="159"/>
      <c r="CE49" s="159"/>
      <c r="CF49" s="159"/>
      <c r="CG49" s="159"/>
      <c r="CH49" s="159"/>
      <c r="CI49" s="159"/>
      <c r="CJ49" s="159"/>
      <c r="CK49" s="159"/>
      <c r="CL49" s="159"/>
      <c r="CM49" s="159"/>
      <c r="CN49" s="159"/>
      <c r="CO49" s="159"/>
      <c r="CP49" s="159"/>
      <c r="CQ49" s="159"/>
      <c r="CR49" s="159"/>
      <c r="CS49" s="159"/>
      <c r="CT49" s="159"/>
      <c r="CU49" s="159"/>
      <c r="CV49" s="159"/>
      <c r="CW49" s="159"/>
      <c r="CX49" s="159"/>
      <c r="CY49" s="159"/>
      <c r="CZ49" s="159"/>
      <c r="DA49" s="159"/>
      <c r="DB49" s="159"/>
      <c r="DC49" s="159"/>
      <c r="DD49" s="159"/>
      <c r="DE49" s="159"/>
      <c r="DF49" s="159"/>
      <c r="DG49" s="159"/>
      <c r="DH49" s="159"/>
      <c r="DI49" s="159"/>
      <c r="DJ49" s="159"/>
      <c r="DK49" s="159"/>
      <c r="DL49" s="159"/>
      <c r="DM49" s="159"/>
      <c r="DN49" s="159"/>
      <c r="DO49" s="159"/>
      <c r="DP49" s="159"/>
      <c r="DQ49" s="159"/>
      <c r="DR49" s="159"/>
      <c r="DS49" s="159"/>
      <c r="DT49" s="159"/>
      <c r="DU49" s="159"/>
      <c r="DV49" s="159"/>
      <c r="DW49" s="159"/>
      <c r="DX49" s="159"/>
      <c r="DY49" s="159"/>
      <c r="DZ49" s="159"/>
      <c r="EA49" s="159"/>
      <c r="EB49" s="159"/>
      <c r="EC49" s="159"/>
      <c r="ED49" s="159"/>
      <c r="EE49" s="159"/>
      <c r="EF49" s="159"/>
      <c r="EG49" s="159"/>
      <c r="EH49" s="159"/>
      <c r="EI49" s="159"/>
      <c r="EJ49" s="159"/>
      <c r="EK49" s="159"/>
      <c r="EL49" s="159"/>
      <c r="EM49" s="159"/>
      <c r="EN49" s="159"/>
      <c r="EO49" s="159"/>
      <c r="EP49" s="159"/>
      <c r="EQ49" s="159"/>
      <c r="ER49" s="159"/>
      <c r="ES49" s="159"/>
      <c r="ET49" s="159"/>
      <c r="EU49" s="159"/>
      <c r="EV49" s="159"/>
      <c r="EW49" s="159"/>
      <c r="EX49" s="159"/>
      <c r="EY49" s="159"/>
      <c r="EZ49" s="159"/>
      <c r="FA49" s="159"/>
      <c r="FB49" s="159"/>
      <c r="FC49" s="159"/>
      <c r="FD49" s="159"/>
      <c r="FE49" s="159"/>
      <c r="FF49" s="159"/>
      <c r="FG49" s="159"/>
      <c r="FH49" s="159"/>
      <c r="FI49" s="159"/>
      <c r="FJ49" s="159"/>
      <c r="FK49" s="159"/>
      <c r="FL49" s="159"/>
      <c r="FM49" s="159"/>
      <c r="FN49" s="159"/>
      <c r="FO49" s="159"/>
      <c r="FP49" s="159"/>
      <c r="FQ49" s="159"/>
      <c r="FR49" s="159"/>
      <c r="FS49" s="159"/>
      <c r="FT49" s="159"/>
      <c r="FU49" s="159"/>
      <c r="FV49" s="159"/>
      <c r="FW49" s="159"/>
      <c r="FX49" s="159"/>
      <c r="FY49" s="159"/>
      <c r="FZ49" s="159"/>
      <c r="GA49" s="159"/>
      <c r="GB49" s="159"/>
      <c r="GC49" s="159"/>
      <c r="GD49" s="159"/>
      <c r="GE49" s="159"/>
      <c r="GF49" s="159"/>
      <c r="GG49" s="159"/>
      <c r="GH49" s="159"/>
      <c r="GI49" s="159"/>
      <c r="GJ49" s="159"/>
      <c r="GK49" s="159"/>
      <c r="GL49" s="159"/>
      <c r="GM49" s="159"/>
      <c r="GN49" s="159"/>
      <c r="GO49" s="159"/>
      <c r="GP49" s="159"/>
      <c r="GQ49" s="159"/>
      <c r="GR49" s="159"/>
      <c r="GS49" s="159"/>
      <c r="GT49" s="159"/>
      <c r="GU49" s="159"/>
      <c r="GV49" s="159"/>
      <c r="GW49" s="159"/>
      <c r="GX49" s="159"/>
      <c r="GY49" s="159"/>
      <c r="GZ49" s="159"/>
      <c r="HA49" s="159"/>
      <c r="HB49" s="159"/>
      <c r="HC49" s="159"/>
      <c r="HD49" s="159"/>
      <c r="HE49" s="159"/>
      <c r="HF49" s="159"/>
      <c r="HG49" s="159"/>
      <c r="HH49" s="159"/>
      <c r="HI49" s="159"/>
      <c r="HJ49" s="159"/>
      <c r="HK49" s="159"/>
      <c r="HL49" s="159"/>
      <c r="HM49" s="159"/>
      <c r="HN49" s="159"/>
      <c r="HO49" s="159"/>
      <c r="HP49" s="159"/>
      <c r="HQ49" s="159"/>
      <c r="HR49" s="159"/>
      <c r="HS49" s="159"/>
      <c r="HT49" s="159"/>
      <c r="HU49" s="159"/>
      <c r="HV49" s="159"/>
      <c r="HW49" s="159"/>
      <c r="HX49" s="159"/>
      <c r="HY49" s="159"/>
      <c r="HZ49" s="159"/>
      <c r="IA49" s="159"/>
      <c r="IB49" s="159"/>
      <c r="IC49" s="159"/>
      <c r="ID49" s="159"/>
      <c r="IE49" s="159"/>
      <c r="IF49" s="159"/>
      <c r="IG49" s="159"/>
      <c r="IH49" s="159"/>
      <c r="II49" s="159"/>
      <c r="IJ49" s="159"/>
      <c r="IK49" s="159"/>
      <c r="IL49" s="159"/>
      <c r="IM49" s="159"/>
      <c r="IN49" s="159"/>
      <c r="IO49" s="159"/>
      <c r="IP49" s="159"/>
      <c r="IQ49" s="159"/>
      <c r="IR49" s="159"/>
      <c r="IS49" s="159"/>
      <c r="IT49" s="159"/>
      <c r="IU49" s="159"/>
      <c r="IV49" s="159"/>
      <c r="IW49" s="159"/>
      <c r="IX49" s="159"/>
      <c r="IY49" s="159"/>
      <c r="IZ49" s="159"/>
      <c r="JA49" s="159"/>
      <c r="JB49" s="159"/>
      <c r="JC49" s="159"/>
      <c r="JD49" s="159"/>
      <c r="JE49" s="159"/>
      <c r="JF49" s="159"/>
      <c r="JG49" s="159"/>
      <c r="JH49" s="159"/>
      <c r="JI49" s="159"/>
      <c r="JJ49" s="159"/>
      <c r="JK49" s="159"/>
      <c r="JL49" s="159"/>
      <c r="JM49" s="159"/>
      <c r="JN49" s="159"/>
      <c r="JO49" s="159"/>
      <c r="JP49" s="159"/>
      <c r="JQ49" s="159"/>
      <c r="JR49" s="159"/>
      <c r="JS49" s="159"/>
      <c r="JT49" s="159"/>
      <c r="JU49" s="159"/>
      <c r="JV49" s="159"/>
      <c r="JW49" s="159"/>
      <c r="JX49" s="159"/>
      <c r="JY49" s="159"/>
      <c r="JZ49" s="159"/>
      <c r="KA49" s="159"/>
      <c r="KB49" s="159"/>
      <c r="KC49" s="159"/>
      <c r="KD49" s="159"/>
      <c r="KE49" s="159"/>
      <c r="KF49" s="159"/>
      <c r="KG49" s="159"/>
      <c r="KH49" s="159"/>
      <c r="KI49" s="159"/>
      <c r="KJ49" s="159"/>
      <c r="KK49" s="159"/>
      <c r="KL49" s="159"/>
      <c r="KM49" s="159"/>
      <c r="KN49" s="159"/>
      <c r="KO49" s="159"/>
      <c r="KP49" s="159"/>
      <c r="KQ49" s="159"/>
      <c r="KR49" s="159"/>
      <c r="KS49" s="159"/>
      <c r="KT49" s="159"/>
      <c r="KU49" s="159"/>
      <c r="KV49" s="159"/>
      <c r="KW49" s="159"/>
      <c r="KX49" s="159"/>
      <c r="KY49" s="159"/>
      <c r="KZ49" s="159"/>
      <c r="LA49" s="159"/>
      <c r="LB49" s="159"/>
      <c r="LC49" s="159"/>
      <c r="LD49" s="159"/>
      <c r="LE49" s="159"/>
      <c r="LF49" s="159"/>
      <c r="LG49" s="159"/>
      <c r="LH49" s="159"/>
      <c r="LI49" s="159"/>
      <c r="LJ49" s="159"/>
      <c r="LK49" s="159"/>
      <c r="LL49" s="159"/>
      <c r="LM49" s="159"/>
      <c r="LN49" s="159"/>
      <c r="LO49" s="159"/>
      <c r="LP49" s="159"/>
      <c r="LQ49" s="159"/>
      <c r="LR49" s="159"/>
      <c r="LS49" s="159"/>
      <c r="LT49" s="159"/>
      <c r="LU49" s="159"/>
      <c r="LV49" s="159"/>
      <c r="LW49" s="159"/>
      <c r="LX49" s="159"/>
      <c r="LY49" s="159"/>
      <c r="LZ49" s="159"/>
      <c r="MA49" s="159"/>
      <c r="MB49" s="159"/>
      <c r="MC49" s="159"/>
      <c r="MD49" s="159"/>
      <c r="ME49" s="159"/>
      <c r="MF49" s="159"/>
      <c r="MG49" s="159"/>
      <c r="MH49" s="159"/>
    </row>
    <row r="50" spans="1:346" s="160" customFormat="1" ht="13" x14ac:dyDescent="0.2">
      <c r="A50" s="158"/>
      <c r="B50" s="129" t="s">
        <v>191</v>
      </c>
      <c r="C50" s="138"/>
      <c r="D50" s="138"/>
      <c r="E50" s="138"/>
      <c r="F50" s="138"/>
      <c r="G50" s="138"/>
      <c r="H50" s="138"/>
      <c r="I50" s="138"/>
      <c r="J50" s="138"/>
      <c r="K50" s="138"/>
      <c r="L50" s="138"/>
      <c r="M50" s="138"/>
      <c r="N50" s="129" t="str">
        <f>IF(InputData=TRUE,(N47/No_Cameras),"")</f>
        <v/>
      </c>
      <c r="O50" s="129" t="s">
        <v>127</v>
      </c>
      <c r="P50" s="138"/>
      <c r="Q50" s="158"/>
      <c r="R50" s="159"/>
      <c r="S50" s="159"/>
      <c r="T50" s="159"/>
      <c r="U50" s="159"/>
      <c r="V50" s="159"/>
      <c r="W50" s="159"/>
      <c r="X50" s="159"/>
      <c r="Y50" s="159"/>
      <c r="Z50" s="159"/>
      <c r="AA50" s="159"/>
      <c r="AB50" s="159"/>
      <c r="AC50" s="159"/>
      <c r="AD50" s="159"/>
      <c r="AE50" s="159"/>
      <c r="AF50" s="159"/>
      <c r="AG50" s="159"/>
      <c r="AH50" s="159"/>
      <c r="AI50" s="159"/>
      <c r="AJ50" s="159"/>
      <c r="AK50" s="159"/>
      <c r="AL50" s="159"/>
      <c r="AM50" s="159"/>
      <c r="AN50" s="159"/>
      <c r="AO50" s="159"/>
      <c r="AP50" s="159"/>
      <c r="AQ50" s="159"/>
      <c r="AR50" s="159"/>
      <c r="AS50" s="159"/>
      <c r="AT50" s="159"/>
      <c r="AU50" s="159"/>
      <c r="AV50" s="159"/>
      <c r="AW50" s="159"/>
      <c r="AX50" s="159"/>
      <c r="AY50" s="159"/>
      <c r="AZ50" s="159"/>
      <c r="BA50" s="159"/>
      <c r="BB50" s="159"/>
      <c r="BC50" s="159"/>
      <c r="BD50" s="159"/>
      <c r="BE50" s="159"/>
      <c r="BF50" s="159"/>
      <c r="BG50" s="159"/>
      <c r="BH50" s="159"/>
      <c r="BI50" s="159"/>
      <c r="BJ50" s="159"/>
      <c r="BK50" s="159"/>
      <c r="BL50" s="159"/>
      <c r="BM50" s="159"/>
      <c r="BN50" s="159"/>
      <c r="BO50" s="159"/>
      <c r="BP50" s="159"/>
      <c r="BQ50" s="159"/>
      <c r="BR50" s="159"/>
      <c r="BS50" s="159"/>
      <c r="BT50" s="159"/>
      <c r="BU50" s="159"/>
      <c r="BV50" s="159"/>
      <c r="BW50" s="159"/>
      <c r="BX50" s="159"/>
      <c r="BY50" s="159"/>
      <c r="BZ50" s="159"/>
      <c r="CA50" s="159"/>
      <c r="CB50" s="159"/>
      <c r="CC50" s="159"/>
      <c r="CD50" s="159"/>
      <c r="CE50" s="159"/>
      <c r="CF50" s="159"/>
      <c r="CG50" s="159"/>
      <c r="CH50" s="159"/>
      <c r="CI50" s="159"/>
      <c r="CJ50" s="159"/>
      <c r="CK50" s="159"/>
      <c r="CL50" s="159"/>
      <c r="CM50" s="159"/>
      <c r="CN50" s="159"/>
      <c r="CO50" s="159"/>
      <c r="CP50" s="159"/>
      <c r="CQ50" s="159"/>
      <c r="CR50" s="159"/>
      <c r="CS50" s="159"/>
      <c r="CT50" s="159"/>
      <c r="CU50" s="159"/>
      <c r="CV50" s="159"/>
      <c r="CW50" s="159"/>
      <c r="CX50" s="159"/>
      <c r="CY50" s="159"/>
      <c r="CZ50" s="159"/>
      <c r="DA50" s="159"/>
      <c r="DB50" s="159"/>
      <c r="DC50" s="159"/>
      <c r="DD50" s="159"/>
      <c r="DE50" s="159"/>
      <c r="DF50" s="159"/>
      <c r="DG50" s="159"/>
      <c r="DH50" s="159"/>
      <c r="DI50" s="159"/>
      <c r="DJ50" s="159"/>
      <c r="DK50" s="159"/>
      <c r="DL50" s="159"/>
      <c r="DM50" s="159"/>
      <c r="DN50" s="159"/>
      <c r="DO50" s="159"/>
      <c r="DP50" s="159"/>
      <c r="DQ50" s="159"/>
      <c r="DR50" s="159"/>
      <c r="DS50" s="159"/>
      <c r="DT50" s="159"/>
      <c r="DU50" s="159"/>
      <c r="DV50" s="159"/>
      <c r="DW50" s="159"/>
      <c r="DX50" s="159"/>
      <c r="DY50" s="159"/>
      <c r="DZ50" s="159"/>
      <c r="EA50" s="159"/>
      <c r="EB50" s="159"/>
      <c r="EC50" s="159"/>
      <c r="ED50" s="159"/>
      <c r="EE50" s="159"/>
      <c r="EF50" s="159"/>
      <c r="EG50" s="159"/>
      <c r="EH50" s="159"/>
      <c r="EI50" s="159"/>
      <c r="EJ50" s="159"/>
      <c r="EK50" s="159"/>
      <c r="EL50" s="159"/>
      <c r="EM50" s="159"/>
      <c r="EN50" s="159"/>
      <c r="EO50" s="159"/>
      <c r="EP50" s="159"/>
      <c r="EQ50" s="159"/>
      <c r="ER50" s="159"/>
      <c r="ES50" s="159"/>
      <c r="ET50" s="159"/>
      <c r="EU50" s="159"/>
      <c r="EV50" s="159"/>
      <c r="EW50" s="159"/>
      <c r="EX50" s="159"/>
      <c r="EY50" s="159"/>
      <c r="EZ50" s="159"/>
      <c r="FA50" s="159"/>
      <c r="FB50" s="159"/>
      <c r="FC50" s="159"/>
      <c r="FD50" s="159"/>
      <c r="FE50" s="159"/>
      <c r="FF50" s="159"/>
      <c r="FG50" s="159"/>
      <c r="FH50" s="159"/>
      <c r="FI50" s="159"/>
      <c r="FJ50" s="159"/>
      <c r="FK50" s="159"/>
      <c r="FL50" s="159"/>
      <c r="FM50" s="159"/>
      <c r="FN50" s="159"/>
      <c r="FO50" s="159"/>
      <c r="FP50" s="159"/>
      <c r="FQ50" s="159"/>
      <c r="FR50" s="159"/>
      <c r="FS50" s="159"/>
      <c r="FT50" s="159"/>
      <c r="FU50" s="159"/>
      <c r="FV50" s="159"/>
      <c r="FW50" s="159"/>
      <c r="FX50" s="159"/>
      <c r="FY50" s="159"/>
      <c r="FZ50" s="159"/>
      <c r="GA50" s="159"/>
      <c r="GB50" s="159"/>
      <c r="GC50" s="159"/>
      <c r="GD50" s="159"/>
      <c r="GE50" s="159"/>
      <c r="GF50" s="159"/>
      <c r="GG50" s="159"/>
      <c r="GH50" s="159"/>
      <c r="GI50" s="159"/>
      <c r="GJ50" s="159"/>
      <c r="GK50" s="159"/>
      <c r="GL50" s="159"/>
      <c r="GM50" s="159"/>
      <c r="GN50" s="159"/>
      <c r="GO50" s="159"/>
      <c r="GP50" s="159"/>
      <c r="GQ50" s="159"/>
      <c r="GR50" s="159"/>
      <c r="GS50" s="159"/>
      <c r="GT50" s="159"/>
      <c r="GU50" s="159"/>
      <c r="GV50" s="159"/>
      <c r="GW50" s="159"/>
      <c r="GX50" s="159"/>
      <c r="GY50" s="159"/>
      <c r="GZ50" s="159"/>
      <c r="HA50" s="159"/>
      <c r="HB50" s="159"/>
      <c r="HC50" s="159"/>
      <c r="HD50" s="159"/>
      <c r="HE50" s="159"/>
      <c r="HF50" s="159"/>
      <c r="HG50" s="159"/>
      <c r="HH50" s="159"/>
      <c r="HI50" s="159"/>
      <c r="HJ50" s="159"/>
      <c r="HK50" s="159"/>
      <c r="HL50" s="159"/>
      <c r="HM50" s="159"/>
      <c r="HN50" s="159"/>
      <c r="HO50" s="159"/>
      <c r="HP50" s="159"/>
      <c r="HQ50" s="159"/>
      <c r="HR50" s="159"/>
      <c r="HS50" s="159"/>
      <c r="HT50" s="159"/>
      <c r="HU50" s="159"/>
      <c r="HV50" s="159"/>
      <c r="HW50" s="159"/>
      <c r="HX50" s="159"/>
      <c r="HY50" s="159"/>
      <c r="HZ50" s="159"/>
      <c r="IA50" s="159"/>
      <c r="IB50" s="159"/>
      <c r="IC50" s="159"/>
      <c r="ID50" s="159"/>
      <c r="IE50" s="159"/>
      <c r="IF50" s="159"/>
      <c r="IG50" s="159"/>
      <c r="IH50" s="159"/>
      <c r="II50" s="159"/>
      <c r="IJ50" s="159"/>
      <c r="IK50" s="159"/>
      <c r="IL50" s="159"/>
      <c r="IM50" s="159"/>
      <c r="IN50" s="159"/>
      <c r="IO50" s="159"/>
      <c r="IP50" s="159"/>
      <c r="IQ50" s="159"/>
      <c r="IR50" s="159"/>
      <c r="IS50" s="159"/>
      <c r="IT50" s="159"/>
      <c r="IU50" s="159"/>
      <c r="IV50" s="159"/>
      <c r="IW50" s="159"/>
      <c r="IX50" s="159"/>
      <c r="IY50" s="159"/>
      <c r="IZ50" s="159"/>
      <c r="JA50" s="159"/>
      <c r="JB50" s="159"/>
      <c r="JC50" s="159"/>
      <c r="JD50" s="159"/>
      <c r="JE50" s="159"/>
      <c r="JF50" s="159"/>
      <c r="JG50" s="159"/>
      <c r="JH50" s="159"/>
      <c r="JI50" s="159"/>
      <c r="JJ50" s="159"/>
      <c r="JK50" s="159"/>
      <c r="JL50" s="159"/>
      <c r="JM50" s="159"/>
      <c r="JN50" s="159"/>
      <c r="JO50" s="159"/>
      <c r="JP50" s="159"/>
      <c r="JQ50" s="159"/>
      <c r="JR50" s="159"/>
      <c r="JS50" s="159"/>
      <c r="JT50" s="159"/>
      <c r="JU50" s="159"/>
      <c r="JV50" s="159"/>
      <c r="JW50" s="159"/>
      <c r="JX50" s="159"/>
      <c r="JY50" s="159"/>
      <c r="JZ50" s="159"/>
      <c r="KA50" s="159"/>
      <c r="KB50" s="159"/>
      <c r="KC50" s="159"/>
      <c r="KD50" s="159"/>
      <c r="KE50" s="159"/>
      <c r="KF50" s="159"/>
      <c r="KG50" s="159"/>
      <c r="KH50" s="159"/>
      <c r="KI50" s="159"/>
      <c r="KJ50" s="159"/>
      <c r="KK50" s="159"/>
      <c r="KL50" s="159"/>
      <c r="KM50" s="159"/>
      <c r="KN50" s="159"/>
      <c r="KO50" s="159"/>
      <c r="KP50" s="159"/>
      <c r="KQ50" s="159"/>
      <c r="KR50" s="159"/>
      <c r="KS50" s="159"/>
      <c r="KT50" s="159"/>
      <c r="KU50" s="159"/>
      <c r="KV50" s="159"/>
      <c r="KW50" s="159"/>
      <c r="KX50" s="159"/>
      <c r="KY50" s="159"/>
      <c r="KZ50" s="159"/>
      <c r="LA50" s="159"/>
      <c r="LB50" s="159"/>
      <c r="LC50" s="159"/>
      <c r="LD50" s="159"/>
      <c r="LE50" s="159"/>
      <c r="LF50" s="159"/>
      <c r="LG50" s="159"/>
      <c r="LH50" s="159"/>
      <c r="LI50" s="159"/>
      <c r="LJ50" s="159"/>
      <c r="LK50" s="159"/>
      <c r="LL50" s="159"/>
      <c r="LM50" s="159"/>
      <c r="LN50" s="159"/>
      <c r="LO50" s="159"/>
      <c r="LP50" s="159"/>
      <c r="LQ50" s="159"/>
      <c r="LR50" s="159"/>
      <c r="LS50" s="159"/>
      <c r="LT50" s="159"/>
      <c r="LU50" s="159"/>
      <c r="LV50" s="159"/>
      <c r="LW50" s="159"/>
      <c r="LX50" s="159"/>
      <c r="LY50" s="159"/>
      <c r="LZ50" s="159"/>
      <c r="MA50" s="159"/>
      <c r="MB50" s="159"/>
      <c r="MC50" s="159"/>
      <c r="MD50" s="159"/>
      <c r="ME50" s="159"/>
      <c r="MF50" s="159"/>
      <c r="MG50" s="159"/>
      <c r="MH50" s="159"/>
    </row>
    <row r="51" spans="1:346" s="160" customFormat="1" ht="12" x14ac:dyDescent="0.15">
      <c r="A51" s="158"/>
      <c r="B51" s="162"/>
      <c r="C51" s="138"/>
      <c r="D51" s="138"/>
      <c r="E51" s="138"/>
      <c r="F51" s="138"/>
      <c r="G51" s="138"/>
      <c r="H51" s="138"/>
      <c r="I51" s="138"/>
      <c r="J51" s="138"/>
      <c r="K51" s="138"/>
      <c r="L51" s="138"/>
      <c r="M51" s="138"/>
      <c r="N51" s="138"/>
      <c r="O51" s="138"/>
      <c r="P51" s="138"/>
      <c r="Q51" s="158"/>
      <c r="R51" s="159"/>
      <c r="S51" s="159"/>
      <c r="T51" s="159"/>
      <c r="U51" s="159"/>
      <c r="V51" s="159"/>
      <c r="W51" s="159"/>
      <c r="X51" s="159"/>
      <c r="Y51" s="159"/>
      <c r="Z51" s="159"/>
      <c r="AA51" s="159"/>
      <c r="AB51" s="159"/>
      <c r="AC51" s="159"/>
      <c r="AD51" s="159"/>
      <c r="AE51" s="159"/>
      <c r="AF51" s="159"/>
      <c r="AG51" s="159"/>
      <c r="AH51" s="159"/>
      <c r="AI51" s="159"/>
      <c r="AJ51" s="159"/>
      <c r="AK51" s="159"/>
      <c r="AL51" s="159"/>
      <c r="AM51" s="159"/>
      <c r="AN51" s="159"/>
      <c r="AO51" s="159"/>
      <c r="AP51" s="159"/>
      <c r="AQ51" s="159"/>
      <c r="AR51" s="159"/>
      <c r="AS51" s="159"/>
      <c r="AT51" s="159"/>
      <c r="AU51" s="159"/>
      <c r="AV51" s="159"/>
      <c r="AW51" s="159"/>
      <c r="AX51" s="159"/>
      <c r="AY51" s="159"/>
      <c r="AZ51" s="159"/>
      <c r="BA51" s="159"/>
      <c r="BB51" s="159"/>
      <c r="BC51" s="159"/>
      <c r="BD51" s="159"/>
      <c r="BE51" s="159"/>
      <c r="BF51" s="159"/>
      <c r="BG51" s="159"/>
      <c r="BH51" s="159"/>
      <c r="BI51" s="159"/>
      <c r="BJ51" s="159"/>
      <c r="BK51" s="159"/>
      <c r="BL51" s="159"/>
      <c r="BM51" s="159"/>
      <c r="BN51" s="159"/>
      <c r="BO51" s="159"/>
      <c r="BP51" s="159"/>
      <c r="BQ51" s="159"/>
      <c r="BR51" s="159"/>
      <c r="BS51" s="159"/>
      <c r="BT51" s="159"/>
      <c r="BU51" s="159"/>
      <c r="BV51" s="159"/>
      <c r="BW51" s="159"/>
      <c r="BX51" s="159"/>
      <c r="BY51" s="159"/>
      <c r="BZ51" s="159"/>
      <c r="CA51" s="159"/>
      <c r="CB51" s="159"/>
      <c r="CC51" s="159"/>
      <c r="CD51" s="159"/>
      <c r="CE51" s="159"/>
      <c r="CF51" s="159"/>
      <c r="CG51" s="159"/>
      <c r="CH51" s="159"/>
      <c r="CI51" s="159"/>
      <c r="CJ51" s="159"/>
      <c r="CK51" s="159"/>
      <c r="CL51" s="159"/>
      <c r="CM51" s="159"/>
      <c r="CN51" s="159"/>
      <c r="CO51" s="159"/>
      <c r="CP51" s="159"/>
      <c r="CQ51" s="159"/>
      <c r="CR51" s="159"/>
      <c r="CS51" s="159"/>
      <c r="CT51" s="159"/>
      <c r="CU51" s="159"/>
      <c r="CV51" s="159"/>
      <c r="CW51" s="159"/>
      <c r="CX51" s="159"/>
      <c r="CY51" s="159"/>
      <c r="CZ51" s="159"/>
      <c r="DA51" s="159"/>
      <c r="DB51" s="159"/>
      <c r="DC51" s="159"/>
      <c r="DD51" s="159"/>
      <c r="DE51" s="159"/>
      <c r="DF51" s="159"/>
      <c r="DG51" s="159"/>
      <c r="DH51" s="159"/>
      <c r="DI51" s="159"/>
      <c r="DJ51" s="159"/>
      <c r="DK51" s="159"/>
      <c r="DL51" s="159"/>
      <c r="DM51" s="159"/>
      <c r="DN51" s="159"/>
      <c r="DO51" s="159"/>
      <c r="DP51" s="159"/>
      <c r="DQ51" s="159"/>
      <c r="DR51" s="159"/>
      <c r="DS51" s="159"/>
      <c r="DT51" s="159"/>
      <c r="DU51" s="159"/>
      <c r="DV51" s="159"/>
      <c r="DW51" s="159"/>
      <c r="DX51" s="159"/>
      <c r="DY51" s="159"/>
      <c r="DZ51" s="159"/>
      <c r="EA51" s="159"/>
      <c r="EB51" s="159"/>
      <c r="EC51" s="159"/>
      <c r="ED51" s="159"/>
      <c r="EE51" s="159"/>
      <c r="EF51" s="159"/>
      <c r="EG51" s="159"/>
      <c r="EH51" s="159"/>
      <c r="EI51" s="159"/>
      <c r="EJ51" s="159"/>
      <c r="EK51" s="159"/>
      <c r="EL51" s="159"/>
      <c r="EM51" s="159"/>
      <c r="EN51" s="159"/>
      <c r="EO51" s="159"/>
      <c r="EP51" s="159"/>
      <c r="EQ51" s="159"/>
      <c r="ER51" s="159"/>
      <c r="ES51" s="159"/>
      <c r="ET51" s="159"/>
      <c r="EU51" s="159"/>
      <c r="EV51" s="159"/>
      <c r="EW51" s="159"/>
      <c r="EX51" s="159"/>
      <c r="EY51" s="159"/>
      <c r="EZ51" s="159"/>
      <c r="FA51" s="159"/>
      <c r="FB51" s="159"/>
      <c r="FC51" s="159"/>
      <c r="FD51" s="159"/>
      <c r="FE51" s="159"/>
      <c r="FF51" s="159"/>
      <c r="FG51" s="159"/>
      <c r="FH51" s="159"/>
      <c r="FI51" s="159"/>
      <c r="FJ51" s="159"/>
      <c r="FK51" s="159"/>
      <c r="FL51" s="159"/>
      <c r="FM51" s="159"/>
      <c r="FN51" s="159"/>
      <c r="FO51" s="159"/>
      <c r="FP51" s="159"/>
      <c r="FQ51" s="159"/>
      <c r="FR51" s="159"/>
      <c r="FS51" s="159"/>
      <c r="FT51" s="159"/>
      <c r="FU51" s="159"/>
      <c r="FV51" s="159"/>
      <c r="FW51" s="159"/>
      <c r="FX51" s="159"/>
      <c r="FY51" s="159"/>
      <c r="FZ51" s="159"/>
      <c r="GA51" s="159"/>
      <c r="GB51" s="159"/>
      <c r="GC51" s="159"/>
      <c r="GD51" s="159"/>
      <c r="GE51" s="159"/>
      <c r="GF51" s="159"/>
      <c r="GG51" s="159"/>
      <c r="GH51" s="159"/>
      <c r="GI51" s="159"/>
      <c r="GJ51" s="159"/>
      <c r="GK51" s="159"/>
      <c r="GL51" s="159"/>
      <c r="GM51" s="159"/>
      <c r="GN51" s="159"/>
      <c r="GO51" s="159"/>
      <c r="GP51" s="159"/>
      <c r="GQ51" s="159"/>
      <c r="GR51" s="159"/>
      <c r="GS51" s="159"/>
      <c r="GT51" s="159"/>
      <c r="GU51" s="159"/>
      <c r="GV51" s="159"/>
      <c r="GW51" s="159"/>
      <c r="GX51" s="159"/>
      <c r="GY51" s="159"/>
      <c r="GZ51" s="159"/>
      <c r="HA51" s="159"/>
      <c r="HB51" s="159"/>
      <c r="HC51" s="159"/>
      <c r="HD51" s="159"/>
      <c r="HE51" s="159"/>
      <c r="HF51" s="159"/>
      <c r="HG51" s="159"/>
      <c r="HH51" s="159"/>
      <c r="HI51" s="159"/>
      <c r="HJ51" s="159"/>
      <c r="HK51" s="159"/>
      <c r="HL51" s="159"/>
      <c r="HM51" s="159"/>
      <c r="HN51" s="159"/>
      <c r="HO51" s="159"/>
      <c r="HP51" s="159"/>
      <c r="HQ51" s="159"/>
      <c r="HR51" s="159"/>
      <c r="HS51" s="159"/>
      <c r="HT51" s="159"/>
      <c r="HU51" s="159"/>
      <c r="HV51" s="159"/>
      <c r="HW51" s="159"/>
      <c r="HX51" s="159"/>
      <c r="HY51" s="159"/>
      <c r="HZ51" s="159"/>
      <c r="IA51" s="159"/>
      <c r="IB51" s="159"/>
      <c r="IC51" s="159"/>
      <c r="ID51" s="159"/>
      <c r="IE51" s="159"/>
      <c r="IF51" s="159"/>
      <c r="IG51" s="159"/>
      <c r="IH51" s="159"/>
      <c r="II51" s="159"/>
      <c r="IJ51" s="159"/>
      <c r="IK51" s="159"/>
      <c r="IL51" s="159"/>
      <c r="IM51" s="159"/>
      <c r="IN51" s="159"/>
      <c r="IO51" s="159"/>
      <c r="IP51" s="159"/>
      <c r="IQ51" s="159"/>
      <c r="IR51" s="159"/>
      <c r="IS51" s="159"/>
      <c r="IT51" s="159"/>
      <c r="IU51" s="159"/>
      <c r="IV51" s="159"/>
      <c r="IW51" s="159"/>
      <c r="IX51" s="159"/>
      <c r="IY51" s="159"/>
      <c r="IZ51" s="159"/>
      <c r="JA51" s="159"/>
      <c r="JB51" s="159"/>
      <c r="JC51" s="159"/>
      <c r="JD51" s="159"/>
      <c r="JE51" s="159"/>
      <c r="JF51" s="159"/>
      <c r="JG51" s="159"/>
      <c r="JH51" s="159"/>
      <c r="JI51" s="159"/>
      <c r="JJ51" s="159"/>
      <c r="JK51" s="159"/>
      <c r="JL51" s="159"/>
      <c r="JM51" s="159"/>
      <c r="JN51" s="159"/>
      <c r="JO51" s="159"/>
      <c r="JP51" s="159"/>
      <c r="JQ51" s="159"/>
      <c r="JR51" s="159"/>
      <c r="JS51" s="159"/>
      <c r="JT51" s="159"/>
      <c r="JU51" s="159"/>
      <c r="JV51" s="159"/>
      <c r="JW51" s="159"/>
      <c r="JX51" s="159"/>
      <c r="JY51" s="159"/>
      <c r="JZ51" s="159"/>
      <c r="KA51" s="159"/>
      <c r="KB51" s="159"/>
      <c r="KC51" s="159"/>
      <c r="KD51" s="159"/>
      <c r="KE51" s="159"/>
      <c r="KF51" s="159"/>
      <c r="KG51" s="159"/>
      <c r="KH51" s="159"/>
      <c r="KI51" s="159"/>
      <c r="KJ51" s="159"/>
      <c r="KK51" s="159"/>
      <c r="KL51" s="159"/>
      <c r="KM51" s="159"/>
      <c r="KN51" s="159"/>
      <c r="KO51" s="159"/>
      <c r="KP51" s="159"/>
      <c r="KQ51" s="159"/>
      <c r="KR51" s="159"/>
      <c r="KS51" s="159"/>
      <c r="KT51" s="159"/>
      <c r="KU51" s="159"/>
      <c r="KV51" s="159"/>
      <c r="KW51" s="159"/>
      <c r="KX51" s="159"/>
      <c r="KY51" s="159"/>
      <c r="KZ51" s="159"/>
      <c r="LA51" s="159"/>
      <c r="LB51" s="159"/>
      <c r="LC51" s="159"/>
      <c r="LD51" s="159"/>
      <c r="LE51" s="159"/>
      <c r="LF51" s="159"/>
      <c r="LG51" s="159"/>
      <c r="LH51" s="159"/>
      <c r="LI51" s="159"/>
      <c r="LJ51" s="159"/>
      <c r="LK51" s="159"/>
      <c r="LL51" s="159"/>
      <c r="LM51" s="159"/>
      <c r="LN51" s="159"/>
      <c r="LO51" s="159"/>
      <c r="LP51" s="159"/>
      <c r="LQ51" s="159"/>
      <c r="LR51" s="159"/>
      <c r="LS51" s="159"/>
      <c r="LT51" s="159"/>
      <c r="LU51" s="159"/>
      <c r="LV51" s="159"/>
      <c r="LW51" s="159"/>
      <c r="LX51" s="159"/>
      <c r="LY51" s="159"/>
      <c r="LZ51" s="159"/>
      <c r="MA51" s="159"/>
      <c r="MB51" s="159"/>
      <c r="MC51" s="159"/>
      <c r="MD51" s="159"/>
      <c r="ME51" s="159"/>
      <c r="MF51" s="159"/>
      <c r="MG51" s="159"/>
      <c r="MH51" s="159"/>
    </row>
    <row r="52" spans="1:346" s="160" customFormat="1" ht="13" x14ac:dyDescent="0.2">
      <c r="A52" s="158"/>
      <c r="B52" s="163" t="str">
        <f>"AWS Service - cost split"</f>
        <v>AWS Service - cost split</v>
      </c>
      <c r="C52" s="157"/>
      <c r="D52" s="157"/>
      <c r="E52" s="157"/>
      <c r="F52" s="157"/>
      <c r="G52" s="157"/>
      <c r="H52" s="157"/>
      <c r="I52" s="157"/>
      <c r="J52" s="157"/>
      <c r="K52" s="157"/>
      <c r="L52" s="157"/>
      <c r="M52" s="157"/>
      <c r="N52" s="157"/>
      <c r="O52" s="157"/>
      <c r="P52" s="157"/>
      <c r="Q52" s="158"/>
      <c r="R52" s="159"/>
      <c r="S52" s="159"/>
      <c r="T52" s="159"/>
      <c r="U52" s="159"/>
      <c r="V52" s="159"/>
      <c r="W52" s="159"/>
      <c r="X52" s="159"/>
      <c r="Y52" s="159"/>
      <c r="Z52" s="159"/>
      <c r="AA52" s="159"/>
      <c r="AB52" s="159"/>
      <c r="AC52" s="159"/>
      <c r="AD52" s="159"/>
      <c r="AE52" s="159"/>
      <c r="AF52" s="159"/>
      <c r="AG52" s="159"/>
      <c r="AH52" s="159"/>
      <c r="AI52" s="159"/>
      <c r="AJ52" s="159"/>
      <c r="AK52" s="159"/>
      <c r="AL52" s="159"/>
      <c r="AM52" s="159"/>
      <c r="AN52" s="159"/>
      <c r="AO52" s="159"/>
      <c r="AP52" s="159"/>
      <c r="AQ52" s="159"/>
      <c r="AR52" s="159"/>
      <c r="AS52" s="159"/>
      <c r="AT52" s="159"/>
      <c r="AU52" s="159"/>
      <c r="AV52" s="159"/>
      <c r="AW52" s="159"/>
      <c r="AX52" s="159"/>
      <c r="AY52" s="159"/>
      <c r="AZ52" s="159"/>
      <c r="BA52" s="159"/>
      <c r="BB52" s="159"/>
      <c r="BC52" s="159"/>
      <c r="BD52" s="159"/>
      <c r="BE52" s="159"/>
      <c r="BF52" s="159"/>
      <c r="BG52" s="159"/>
      <c r="BH52" s="159"/>
      <c r="BI52" s="159"/>
      <c r="BJ52" s="159"/>
      <c r="BK52" s="159"/>
      <c r="BL52" s="159"/>
      <c r="BM52" s="159"/>
      <c r="BN52" s="159"/>
      <c r="BO52" s="159"/>
      <c r="BP52" s="159"/>
      <c r="BQ52" s="159"/>
      <c r="BR52" s="159"/>
      <c r="BS52" s="159"/>
      <c r="BT52" s="159"/>
      <c r="BU52" s="159"/>
      <c r="BV52" s="159"/>
      <c r="BW52" s="159"/>
      <c r="BX52" s="159"/>
      <c r="BY52" s="159"/>
      <c r="BZ52" s="159"/>
      <c r="CA52" s="159"/>
      <c r="CB52" s="159"/>
      <c r="CC52" s="159"/>
      <c r="CD52" s="159"/>
      <c r="CE52" s="159"/>
      <c r="CF52" s="159"/>
      <c r="CG52" s="159"/>
      <c r="CH52" s="159"/>
      <c r="CI52" s="159"/>
      <c r="CJ52" s="159"/>
      <c r="CK52" s="159"/>
      <c r="CL52" s="159"/>
      <c r="CM52" s="159"/>
      <c r="CN52" s="159"/>
      <c r="CO52" s="159"/>
      <c r="CP52" s="159"/>
      <c r="CQ52" s="159"/>
      <c r="CR52" s="159"/>
      <c r="CS52" s="159"/>
      <c r="CT52" s="159"/>
      <c r="CU52" s="159"/>
      <c r="CV52" s="159"/>
      <c r="CW52" s="159"/>
      <c r="CX52" s="159"/>
      <c r="CY52" s="159"/>
      <c r="CZ52" s="159"/>
      <c r="DA52" s="159"/>
      <c r="DB52" s="159"/>
      <c r="DC52" s="159"/>
      <c r="DD52" s="159"/>
      <c r="DE52" s="159"/>
      <c r="DF52" s="159"/>
      <c r="DG52" s="159"/>
      <c r="DH52" s="159"/>
      <c r="DI52" s="159"/>
      <c r="DJ52" s="159"/>
      <c r="DK52" s="159"/>
      <c r="DL52" s="159"/>
      <c r="DM52" s="159"/>
      <c r="DN52" s="159"/>
      <c r="DO52" s="159"/>
      <c r="DP52" s="159"/>
      <c r="DQ52" s="159"/>
      <c r="DR52" s="159"/>
      <c r="DS52" s="159"/>
      <c r="DT52" s="159"/>
      <c r="DU52" s="159"/>
      <c r="DV52" s="159"/>
      <c r="DW52" s="159"/>
      <c r="DX52" s="159"/>
      <c r="DY52" s="159"/>
      <c r="DZ52" s="159"/>
      <c r="EA52" s="159"/>
      <c r="EB52" s="159"/>
      <c r="EC52" s="159"/>
      <c r="ED52" s="159"/>
      <c r="EE52" s="159"/>
      <c r="EF52" s="159"/>
      <c r="EG52" s="159"/>
      <c r="EH52" s="159"/>
      <c r="EI52" s="159"/>
      <c r="EJ52" s="159"/>
      <c r="EK52" s="159"/>
      <c r="EL52" s="159"/>
      <c r="EM52" s="159"/>
      <c r="EN52" s="159"/>
      <c r="EO52" s="159"/>
      <c r="EP52" s="159"/>
      <c r="EQ52" s="159"/>
      <c r="ER52" s="159"/>
      <c r="ES52" s="159"/>
      <c r="ET52" s="159"/>
      <c r="EU52" s="159"/>
      <c r="EV52" s="159"/>
      <c r="EW52" s="159"/>
      <c r="EX52" s="159"/>
      <c r="EY52" s="159"/>
      <c r="EZ52" s="159"/>
      <c r="FA52" s="159"/>
      <c r="FB52" s="159"/>
      <c r="FC52" s="159"/>
      <c r="FD52" s="159"/>
      <c r="FE52" s="159"/>
      <c r="FF52" s="159"/>
      <c r="FG52" s="159"/>
      <c r="FH52" s="159"/>
      <c r="FI52" s="159"/>
      <c r="FJ52" s="159"/>
      <c r="FK52" s="159"/>
      <c r="FL52" s="159"/>
      <c r="FM52" s="159"/>
      <c r="FN52" s="159"/>
      <c r="FO52" s="159"/>
      <c r="FP52" s="159"/>
      <c r="FQ52" s="159"/>
      <c r="FR52" s="159"/>
      <c r="FS52" s="159"/>
      <c r="FT52" s="159"/>
      <c r="FU52" s="159"/>
      <c r="FV52" s="159"/>
      <c r="FW52" s="159"/>
      <c r="FX52" s="159"/>
      <c r="FY52" s="159"/>
      <c r="FZ52" s="159"/>
      <c r="GA52" s="159"/>
      <c r="GB52" s="159"/>
      <c r="GC52" s="159"/>
      <c r="GD52" s="159"/>
      <c r="GE52" s="159"/>
      <c r="GF52" s="159"/>
      <c r="GG52" s="159"/>
      <c r="GH52" s="159"/>
      <c r="GI52" s="159"/>
      <c r="GJ52" s="159"/>
      <c r="GK52" s="159"/>
      <c r="GL52" s="159"/>
      <c r="GM52" s="159"/>
      <c r="GN52" s="159"/>
      <c r="GO52" s="159"/>
      <c r="GP52" s="159"/>
      <c r="GQ52" s="159"/>
      <c r="GR52" s="159"/>
      <c r="GS52" s="159"/>
      <c r="GT52" s="159"/>
      <c r="GU52" s="159"/>
      <c r="GV52" s="159"/>
      <c r="GW52" s="159"/>
      <c r="GX52" s="159"/>
      <c r="GY52" s="159"/>
      <c r="GZ52" s="159"/>
      <c r="HA52" s="159"/>
      <c r="HB52" s="159"/>
      <c r="HC52" s="159"/>
      <c r="HD52" s="159"/>
      <c r="HE52" s="159"/>
      <c r="HF52" s="159"/>
      <c r="HG52" s="159"/>
      <c r="HH52" s="159"/>
      <c r="HI52" s="159"/>
      <c r="HJ52" s="159"/>
      <c r="HK52" s="159"/>
      <c r="HL52" s="159"/>
      <c r="HM52" s="159"/>
      <c r="HN52" s="159"/>
      <c r="HO52" s="159"/>
      <c r="HP52" s="159"/>
      <c r="HQ52" s="159"/>
      <c r="HR52" s="159"/>
      <c r="HS52" s="159"/>
      <c r="HT52" s="159"/>
      <c r="HU52" s="159"/>
      <c r="HV52" s="159"/>
      <c r="HW52" s="159"/>
      <c r="HX52" s="159"/>
      <c r="HY52" s="159"/>
      <c r="HZ52" s="159"/>
      <c r="IA52" s="159"/>
      <c r="IB52" s="159"/>
      <c r="IC52" s="159"/>
      <c r="ID52" s="159"/>
      <c r="IE52" s="159"/>
      <c r="IF52" s="159"/>
      <c r="IG52" s="159"/>
      <c r="IH52" s="159"/>
      <c r="II52" s="159"/>
      <c r="IJ52" s="159"/>
      <c r="IK52" s="159"/>
      <c r="IL52" s="159"/>
      <c r="IM52" s="159"/>
      <c r="IN52" s="159"/>
      <c r="IO52" s="159"/>
      <c r="IP52" s="159"/>
      <c r="IQ52" s="159"/>
      <c r="IR52" s="159"/>
      <c r="IS52" s="159"/>
      <c r="IT52" s="159"/>
      <c r="IU52" s="159"/>
      <c r="IV52" s="159"/>
      <c r="IW52" s="159"/>
      <c r="IX52" s="159"/>
      <c r="IY52" s="159"/>
      <c r="IZ52" s="159"/>
      <c r="JA52" s="159"/>
      <c r="JB52" s="159"/>
      <c r="JC52" s="159"/>
      <c r="JD52" s="159"/>
      <c r="JE52" s="159"/>
      <c r="JF52" s="159"/>
      <c r="JG52" s="159"/>
      <c r="JH52" s="159"/>
      <c r="JI52" s="159"/>
      <c r="JJ52" s="159"/>
      <c r="JK52" s="159"/>
      <c r="JL52" s="159"/>
      <c r="JM52" s="159"/>
      <c r="JN52" s="159"/>
      <c r="JO52" s="159"/>
      <c r="JP52" s="159"/>
      <c r="JQ52" s="159"/>
      <c r="JR52" s="159"/>
      <c r="JS52" s="159"/>
      <c r="JT52" s="159"/>
      <c r="JU52" s="159"/>
      <c r="JV52" s="159"/>
      <c r="JW52" s="159"/>
      <c r="JX52" s="159"/>
      <c r="JY52" s="159"/>
      <c r="JZ52" s="159"/>
      <c r="KA52" s="159"/>
      <c r="KB52" s="159"/>
      <c r="KC52" s="159"/>
      <c r="KD52" s="159"/>
      <c r="KE52" s="159"/>
      <c r="KF52" s="159"/>
      <c r="KG52" s="159"/>
      <c r="KH52" s="159"/>
      <c r="KI52" s="159"/>
      <c r="KJ52" s="159"/>
      <c r="KK52" s="159"/>
      <c r="KL52" s="159"/>
      <c r="KM52" s="159"/>
      <c r="KN52" s="159"/>
      <c r="KO52" s="159"/>
      <c r="KP52" s="159"/>
      <c r="KQ52" s="159"/>
      <c r="KR52" s="159"/>
      <c r="KS52" s="159"/>
      <c r="KT52" s="159"/>
      <c r="KU52" s="159"/>
      <c r="KV52" s="159"/>
      <c r="KW52" s="159"/>
      <c r="KX52" s="159"/>
      <c r="KY52" s="159"/>
      <c r="KZ52" s="159"/>
      <c r="LA52" s="159"/>
      <c r="LB52" s="159"/>
      <c r="LC52" s="159"/>
      <c r="LD52" s="159"/>
      <c r="LE52" s="159"/>
      <c r="LF52" s="159"/>
      <c r="LG52" s="159"/>
      <c r="LH52" s="159"/>
      <c r="LI52" s="159"/>
      <c r="LJ52" s="159"/>
      <c r="LK52" s="159"/>
      <c r="LL52" s="159"/>
      <c r="LM52" s="159"/>
      <c r="LN52" s="159"/>
      <c r="LO52" s="159"/>
      <c r="LP52" s="159"/>
      <c r="LQ52" s="159"/>
      <c r="LR52" s="159"/>
      <c r="LS52" s="159"/>
      <c r="LT52" s="159"/>
      <c r="LU52" s="159"/>
      <c r="LV52" s="159"/>
      <c r="LW52" s="159"/>
      <c r="LX52" s="159"/>
      <c r="LY52" s="159"/>
      <c r="LZ52" s="159"/>
      <c r="MA52" s="159"/>
      <c r="MB52" s="159"/>
      <c r="MC52" s="159"/>
      <c r="MD52" s="159"/>
      <c r="ME52" s="159"/>
      <c r="MF52" s="159"/>
      <c r="MG52" s="159"/>
      <c r="MH52" s="159"/>
    </row>
    <row r="53" spans="1:346" s="160" customFormat="1" ht="11" x14ac:dyDescent="0.15">
      <c r="A53" s="158"/>
      <c r="B53" s="158"/>
      <c r="C53" s="158"/>
      <c r="D53" s="158"/>
      <c r="E53" s="158"/>
      <c r="F53" s="158"/>
      <c r="G53" s="158"/>
      <c r="H53" s="158"/>
      <c r="I53" s="158"/>
      <c r="J53" s="158"/>
      <c r="K53" s="158"/>
      <c r="L53" s="158"/>
      <c r="M53" s="158"/>
      <c r="N53" s="158"/>
      <c r="O53" s="158"/>
      <c r="P53" s="158"/>
      <c r="Q53" s="158"/>
      <c r="R53" s="159"/>
      <c r="S53" s="159"/>
      <c r="T53" s="159"/>
      <c r="U53" s="159"/>
      <c r="V53" s="159"/>
      <c r="W53" s="159"/>
      <c r="X53" s="159"/>
      <c r="Y53" s="159"/>
      <c r="Z53" s="159"/>
      <c r="AA53" s="159"/>
      <c r="AB53" s="159"/>
      <c r="AC53" s="159"/>
      <c r="AD53" s="159"/>
      <c r="AE53" s="159"/>
      <c r="AF53" s="159"/>
      <c r="AG53" s="159"/>
      <c r="AH53" s="159"/>
      <c r="AI53" s="159"/>
      <c r="AJ53" s="159"/>
      <c r="AK53" s="159"/>
      <c r="AL53" s="159"/>
      <c r="AM53" s="159"/>
      <c r="AN53" s="159"/>
      <c r="AO53" s="159"/>
      <c r="AP53" s="159"/>
      <c r="AQ53" s="159"/>
      <c r="AR53" s="159"/>
      <c r="AS53" s="159"/>
      <c r="AT53" s="159"/>
      <c r="AU53" s="159"/>
      <c r="AV53" s="159"/>
      <c r="AW53" s="159"/>
      <c r="AX53" s="159"/>
      <c r="AY53" s="159"/>
      <c r="AZ53" s="159"/>
      <c r="BA53" s="159"/>
      <c r="BB53" s="159"/>
      <c r="BC53" s="159"/>
      <c r="BD53" s="159"/>
      <c r="BE53" s="159"/>
      <c r="BF53" s="159"/>
      <c r="BG53" s="159"/>
      <c r="BH53" s="159"/>
      <c r="BI53" s="159"/>
      <c r="BJ53" s="159"/>
      <c r="BK53" s="159"/>
      <c r="BL53" s="159"/>
      <c r="BM53" s="159"/>
      <c r="BN53" s="159"/>
      <c r="BO53" s="159"/>
      <c r="BP53" s="159"/>
      <c r="BQ53" s="159"/>
      <c r="BR53" s="159"/>
      <c r="BS53" s="159"/>
      <c r="BT53" s="159"/>
      <c r="BU53" s="159"/>
      <c r="BV53" s="159"/>
      <c r="BW53" s="159"/>
      <c r="BX53" s="159"/>
      <c r="BY53" s="159"/>
      <c r="BZ53" s="159"/>
      <c r="CA53" s="159"/>
      <c r="CB53" s="159"/>
      <c r="CC53" s="159"/>
      <c r="CD53" s="159"/>
      <c r="CE53" s="159"/>
      <c r="CF53" s="159"/>
      <c r="CG53" s="159"/>
      <c r="CH53" s="159"/>
      <c r="CI53" s="159"/>
      <c r="CJ53" s="159"/>
      <c r="CK53" s="159"/>
      <c r="CL53" s="159"/>
      <c r="CM53" s="159"/>
      <c r="CN53" s="159"/>
      <c r="CO53" s="159"/>
      <c r="CP53" s="159"/>
      <c r="CQ53" s="159"/>
      <c r="CR53" s="159"/>
      <c r="CS53" s="159"/>
      <c r="CT53" s="159"/>
      <c r="CU53" s="159"/>
      <c r="CV53" s="159"/>
      <c r="CW53" s="159"/>
      <c r="CX53" s="159"/>
      <c r="CY53" s="159"/>
      <c r="CZ53" s="159"/>
      <c r="DA53" s="159"/>
      <c r="DB53" s="159"/>
      <c r="DC53" s="159"/>
      <c r="DD53" s="159"/>
      <c r="DE53" s="159"/>
      <c r="DF53" s="159"/>
      <c r="DG53" s="159"/>
      <c r="DH53" s="159"/>
      <c r="DI53" s="159"/>
      <c r="DJ53" s="159"/>
      <c r="DK53" s="159"/>
      <c r="DL53" s="159"/>
      <c r="DM53" s="159"/>
      <c r="DN53" s="159"/>
      <c r="DO53" s="159"/>
      <c r="DP53" s="159"/>
      <c r="DQ53" s="159"/>
      <c r="DR53" s="159"/>
      <c r="DS53" s="159"/>
      <c r="DT53" s="159"/>
      <c r="DU53" s="159"/>
      <c r="DV53" s="159"/>
      <c r="DW53" s="159"/>
      <c r="DX53" s="159"/>
      <c r="DY53" s="159"/>
      <c r="DZ53" s="159"/>
      <c r="EA53" s="159"/>
      <c r="EB53" s="159"/>
      <c r="EC53" s="159"/>
      <c r="ED53" s="159"/>
      <c r="EE53" s="159"/>
      <c r="EF53" s="159"/>
      <c r="EG53" s="159"/>
      <c r="EH53" s="159"/>
      <c r="EI53" s="159"/>
      <c r="EJ53" s="159"/>
      <c r="EK53" s="159"/>
      <c r="EL53" s="159"/>
      <c r="EM53" s="159"/>
      <c r="EN53" s="159"/>
      <c r="EO53" s="159"/>
      <c r="EP53" s="159"/>
      <c r="EQ53" s="159"/>
      <c r="ER53" s="159"/>
      <c r="ES53" s="159"/>
      <c r="ET53" s="159"/>
      <c r="EU53" s="159"/>
      <c r="EV53" s="159"/>
      <c r="EW53" s="159"/>
      <c r="EX53" s="159"/>
      <c r="EY53" s="159"/>
      <c r="EZ53" s="159"/>
      <c r="FA53" s="159"/>
      <c r="FB53" s="159"/>
      <c r="FC53" s="159"/>
      <c r="FD53" s="159"/>
      <c r="FE53" s="159"/>
      <c r="FF53" s="159"/>
      <c r="FG53" s="159"/>
      <c r="FH53" s="159"/>
      <c r="FI53" s="159"/>
      <c r="FJ53" s="159"/>
      <c r="FK53" s="159"/>
      <c r="FL53" s="159"/>
      <c r="FM53" s="159"/>
      <c r="FN53" s="159"/>
      <c r="FO53" s="159"/>
      <c r="FP53" s="159"/>
      <c r="FQ53" s="159"/>
      <c r="FR53" s="159"/>
      <c r="FS53" s="159"/>
      <c r="FT53" s="159"/>
      <c r="FU53" s="159"/>
      <c r="FV53" s="159"/>
      <c r="FW53" s="159"/>
      <c r="FX53" s="159"/>
      <c r="FY53" s="159"/>
      <c r="FZ53" s="159"/>
      <c r="GA53" s="159"/>
      <c r="GB53" s="159"/>
      <c r="GC53" s="159"/>
      <c r="GD53" s="159"/>
      <c r="GE53" s="159"/>
      <c r="GF53" s="159"/>
      <c r="GG53" s="159"/>
      <c r="GH53" s="159"/>
      <c r="GI53" s="159"/>
      <c r="GJ53" s="159"/>
      <c r="GK53" s="159"/>
      <c r="GL53" s="159"/>
      <c r="GM53" s="159"/>
      <c r="GN53" s="159"/>
      <c r="GO53" s="159"/>
      <c r="GP53" s="159"/>
      <c r="GQ53" s="159"/>
      <c r="GR53" s="159"/>
      <c r="GS53" s="159"/>
      <c r="GT53" s="159"/>
      <c r="GU53" s="159"/>
      <c r="GV53" s="159"/>
      <c r="GW53" s="159"/>
      <c r="GX53" s="159"/>
      <c r="GY53" s="159"/>
      <c r="GZ53" s="159"/>
      <c r="HA53" s="159"/>
      <c r="HB53" s="159"/>
      <c r="HC53" s="159"/>
      <c r="HD53" s="159"/>
      <c r="HE53" s="159"/>
      <c r="HF53" s="159"/>
      <c r="HG53" s="159"/>
      <c r="HH53" s="159"/>
      <c r="HI53" s="159"/>
      <c r="HJ53" s="159"/>
      <c r="HK53" s="159"/>
      <c r="HL53" s="159"/>
      <c r="HM53" s="159"/>
      <c r="HN53" s="159"/>
      <c r="HO53" s="159"/>
      <c r="HP53" s="159"/>
      <c r="HQ53" s="159"/>
      <c r="HR53" s="159"/>
      <c r="HS53" s="159"/>
      <c r="HT53" s="159"/>
      <c r="HU53" s="159"/>
      <c r="HV53" s="159"/>
      <c r="HW53" s="159"/>
      <c r="HX53" s="159"/>
      <c r="HY53" s="159"/>
      <c r="HZ53" s="159"/>
      <c r="IA53" s="159"/>
      <c r="IB53" s="159"/>
      <c r="IC53" s="159"/>
      <c r="ID53" s="159"/>
      <c r="IE53" s="159"/>
      <c r="IF53" s="159"/>
      <c r="IG53" s="159"/>
      <c r="IH53" s="159"/>
      <c r="II53" s="159"/>
      <c r="IJ53" s="159"/>
      <c r="IK53" s="159"/>
      <c r="IL53" s="159"/>
      <c r="IM53" s="159"/>
      <c r="IN53" s="159"/>
      <c r="IO53" s="159"/>
      <c r="IP53" s="159"/>
      <c r="IQ53" s="159"/>
      <c r="IR53" s="159"/>
      <c r="IS53" s="159"/>
      <c r="IT53" s="159"/>
      <c r="IU53" s="159"/>
      <c r="IV53" s="159"/>
      <c r="IW53" s="159"/>
      <c r="IX53" s="159"/>
      <c r="IY53" s="159"/>
      <c r="IZ53" s="159"/>
      <c r="JA53" s="159"/>
      <c r="JB53" s="159"/>
      <c r="JC53" s="159"/>
      <c r="JD53" s="159"/>
      <c r="JE53" s="159"/>
      <c r="JF53" s="159"/>
      <c r="JG53" s="159"/>
      <c r="JH53" s="159"/>
      <c r="JI53" s="159"/>
      <c r="JJ53" s="159"/>
      <c r="JK53" s="159"/>
      <c r="JL53" s="159"/>
      <c r="JM53" s="159"/>
      <c r="JN53" s="159"/>
      <c r="JO53" s="159"/>
      <c r="JP53" s="159"/>
      <c r="JQ53" s="159"/>
      <c r="JR53" s="159"/>
      <c r="JS53" s="159"/>
      <c r="JT53" s="159"/>
      <c r="JU53" s="159"/>
      <c r="JV53" s="159"/>
      <c r="JW53" s="159"/>
      <c r="JX53" s="159"/>
      <c r="JY53" s="159"/>
      <c r="JZ53" s="159"/>
      <c r="KA53" s="159"/>
      <c r="KB53" s="159"/>
      <c r="KC53" s="159"/>
      <c r="KD53" s="159"/>
      <c r="KE53" s="159"/>
      <c r="KF53" s="159"/>
      <c r="KG53" s="159"/>
      <c r="KH53" s="159"/>
      <c r="KI53" s="159"/>
      <c r="KJ53" s="159"/>
      <c r="KK53" s="159"/>
      <c r="KL53" s="159"/>
      <c r="KM53" s="159"/>
      <c r="KN53" s="159"/>
      <c r="KO53" s="159"/>
      <c r="KP53" s="159"/>
      <c r="KQ53" s="159"/>
      <c r="KR53" s="159"/>
      <c r="KS53" s="159"/>
      <c r="KT53" s="159"/>
      <c r="KU53" s="159"/>
      <c r="KV53" s="159"/>
      <c r="KW53" s="159"/>
      <c r="KX53" s="159"/>
      <c r="KY53" s="159"/>
      <c r="KZ53" s="159"/>
      <c r="LA53" s="159"/>
      <c r="LB53" s="159"/>
      <c r="LC53" s="159"/>
      <c r="LD53" s="159"/>
      <c r="LE53" s="159"/>
      <c r="LF53" s="159"/>
      <c r="LG53" s="159"/>
      <c r="LH53" s="159"/>
      <c r="LI53" s="159"/>
      <c r="LJ53" s="159"/>
      <c r="LK53" s="159"/>
      <c r="LL53" s="159"/>
      <c r="LM53" s="159"/>
      <c r="LN53" s="159"/>
      <c r="LO53" s="159"/>
      <c r="LP53" s="159"/>
      <c r="LQ53" s="159"/>
      <c r="LR53" s="159"/>
      <c r="LS53" s="159"/>
      <c r="LT53" s="159"/>
      <c r="LU53" s="159"/>
      <c r="LV53" s="159"/>
      <c r="LW53" s="159"/>
      <c r="LX53" s="159"/>
      <c r="LY53" s="159"/>
      <c r="LZ53" s="159"/>
      <c r="MA53" s="159"/>
      <c r="MB53" s="159"/>
      <c r="MC53" s="159"/>
      <c r="MD53" s="159"/>
      <c r="ME53" s="159"/>
      <c r="MF53" s="159"/>
      <c r="MG53" s="159"/>
      <c r="MH53" s="159"/>
    </row>
    <row r="54" spans="1:346" s="165" customFormat="1" ht="16" x14ac:dyDescent="0.2">
      <c r="A54" s="65"/>
      <c r="B54" s="65"/>
      <c r="C54" s="65"/>
      <c r="D54" s="65"/>
      <c r="E54" s="65"/>
      <c r="F54" s="65"/>
      <c r="G54" s="65"/>
      <c r="H54" s="65"/>
      <c r="I54" s="65"/>
      <c r="J54" s="65"/>
      <c r="K54" s="65"/>
      <c r="L54" s="65"/>
      <c r="M54" s="65"/>
      <c r="N54" s="65"/>
      <c r="O54" s="65"/>
      <c r="P54" s="65"/>
      <c r="Q54" s="65"/>
      <c r="R54" s="164"/>
      <c r="S54" s="164"/>
      <c r="T54" s="164"/>
      <c r="U54" s="164"/>
      <c r="V54" s="164"/>
      <c r="W54" s="164"/>
      <c r="X54" s="164"/>
      <c r="Y54" s="164"/>
      <c r="Z54" s="164"/>
      <c r="AA54" s="164"/>
      <c r="AB54" s="164"/>
      <c r="AC54" s="164"/>
      <c r="AD54" s="164"/>
      <c r="AE54" s="164"/>
      <c r="AF54" s="164"/>
      <c r="AG54" s="164"/>
      <c r="AH54" s="164"/>
      <c r="AI54" s="164"/>
      <c r="AJ54" s="164"/>
      <c r="AK54" s="164"/>
      <c r="AL54" s="164"/>
      <c r="AM54" s="164"/>
      <c r="AN54" s="164"/>
      <c r="AO54" s="164"/>
      <c r="AP54" s="164"/>
      <c r="AQ54" s="164"/>
      <c r="AR54" s="164"/>
      <c r="AS54" s="164"/>
      <c r="AT54" s="164"/>
      <c r="AU54" s="164"/>
      <c r="AV54" s="164"/>
      <c r="AW54" s="164"/>
      <c r="AX54" s="164"/>
      <c r="AY54" s="164"/>
      <c r="AZ54" s="164"/>
      <c r="BA54" s="164"/>
      <c r="BB54" s="164"/>
      <c r="BC54" s="164"/>
      <c r="BD54" s="164"/>
      <c r="BE54" s="164"/>
      <c r="BF54" s="164"/>
      <c r="BG54" s="164"/>
      <c r="BH54" s="164"/>
      <c r="BI54" s="164"/>
      <c r="BJ54" s="164"/>
      <c r="BK54" s="164"/>
      <c r="BL54" s="164"/>
      <c r="BM54" s="164"/>
      <c r="BN54" s="164"/>
      <c r="BO54" s="164"/>
      <c r="BP54" s="164"/>
      <c r="BQ54" s="164"/>
      <c r="BR54" s="164"/>
      <c r="BS54" s="164"/>
      <c r="BT54" s="164"/>
      <c r="BU54" s="164"/>
      <c r="BV54" s="164"/>
      <c r="BW54" s="164"/>
      <c r="BX54" s="164"/>
      <c r="BY54" s="164"/>
      <c r="BZ54" s="164"/>
      <c r="CA54" s="164"/>
      <c r="CB54" s="164"/>
      <c r="CC54" s="164"/>
      <c r="CD54" s="164"/>
      <c r="CE54" s="164"/>
      <c r="CF54" s="164"/>
      <c r="CG54" s="164"/>
      <c r="CH54" s="164"/>
      <c r="CI54" s="164"/>
      <c r="CJ54" s="164"/>
      <c r="CK54" s="164"/>
      <c r="CL54" s="164"/>
      <c r="CM54" s="164"/>
      <c r="CN54" s="164"/>
      <c r="CO54" s="164"/>
      <c r="CP54" s="164"/>
      <c r="CQ54" s="164"/>
      <c r="CR54" s="164"/>
      <c r="CS54" s="164"/>
      <c r="CT54" s="164"/>
      <c r="CU54" s="164"/>
      <c r="CV54" s="164"/>
      <c r="CW54" s="164"/>
      <c r="CX54" s="164"/>
      <c r="CY54" s="164"/>
      <c r="CZ54" s="164"/>
      <c r="DA54" s="164"/>
      <c r="DB54" s="164"/>
      <c r="DC54" s="164"/>
      <c r="DD54" s="164"/>
      <c r="DE54" s="164"/>
      <c r="DF54" s="164"/>
      <c r="DG54" s="164"/>
      <c r="DH54" s="164"/>
      <c r="DI54" s="164"/>
      <c r="DJ54" s="164"/>
      <c r="DK54" s="164"/>
      <c r="DL54" s="164"/>
      <c r="DM54" s="164"/>
      <c r="DN54" s="164"/>
      <c r="DO54" s="164"/>
      <c r="DP54" s="164"/>
      <c r="DQ54" s="164"/>
      <c r="DR54" s="164"/>
      <c r="DS54" s="164"/>
      <c r="DT54" s="164"/>
      <c r="DU54" s="164"/>
      <c r="DV54" s="164"/>
      <c r="DW54" s="164"/>
      <c r="DX54" s="164"/>
      <c r="DY54" s="164"/>
      <c r="DZ54" s="164"/>
      <c r="EA54" s="164"/>
      <c r="EB54" s="164"/>
      <c r="EC54" s="164"/>
      <c r="ED54" s="164"/>
      <c r="EE54" s="164"/>
      <c r="EF54" s="164"/>
      <c r="EG54" s="164"/>
      <c r="EH54" s="164"/>
      <c r="EI54" s="164"/>
      <c r="EJ54" s="164"/>
      <c r="EK54" s="164"/>
      <c r="EL54" s="164"/>
      <c r="EM54" s="164"/>
      <c r="EN54" s="164"/>
      <c r="EO54" s="164"/>
      <c r="EP54" s="164"/>
      <c r="EQ54" s="164"/>
      <c r="ER54" s="164"/>
      <c r="ES54" s="164"/>
      <c r="ET54" s="164"/>
      <c r="EU54" s="164"/>
      <c r="EV54" s="164"/>
      <c r="EW54" s="164"/>
      <c r="EX54" s="164"/>
      <c r="EY54" s="164"/>
      <c r="EZ54" s="164"/>
      <c r="FA54" s="164"/>
      <c r="FB54" s="164"/>
      <c r="FC54" s="164"/>
      <c r="FD54" s="164"/>
      <c r="FE54" s="164"/>
      <c r="FF54" s="164"/>
      <c r="FG54" s="164"/>
      <c r="FH54" s="164"/>
      <c r="FI54" s="164"/>
      <c r="FJ54" s="164"/>
      <c r="FK54" s="164"/>
      <c r="FL54" s="164"/>
      <c r="FM54" s="164"/>
      <c r="FN54" s="164"/>
      <c r="FO54" s="164"/>
      <c r="FP54" s="164"/>
      <c r="FQ54" s="164"/>
      <c r="FR54" s="164"/>
      <c r="FS54" s="164"/>
      <c r="FT54" s="164"/>
      <c r="FU54" s="164"/>
      <c r="FV54" s="164"/>
      <c r="FW54" s="164"/>
      <c r="FX54" s="164"/>
      <c r="FY54" s="164"/>
      <c r="FZ54" s="164"/>
      <c r="GA54" s="164"/>
      <c r="GB54" s="164"/>
      <c r="GC54" s="164"/>
      <c r="GD54" s="164"/>
      <c r="GE54" s="164"/>
      <c r="GF54" s="164"/>
      <c r="GG54" s="164"/>
      <c r="GH54" s="164"/>
      <c r="GI54" s="164"/>
      <c r="GJ54" s="164"/>
      <c r="GK54" s="164"/>
      <c r="GL54" s="164"/>
      <c r="GM54" s="164"/>
      <c r="GN54" s="164"/>
      <c r="GO54" s="164"/>
      <c r="GP54" s="164"/>
      <c r="GQ54" s="164"/>
      <c r="GR54" s="164"/>
      <c r="GS54" s="164"/>
      <c r="GT54" s="164"/>
      <c r="GU54" s="164"/>
      <c r="GV54" s="164"/>
      <c r="GW54" s="164"/>
      <c r="GX54" s="164"/>
      <c r="GY54" s="164"/>
      <c r="GZ54" s="164"/>
      <c r="HA54" s="164"/>
      <c r="HB54" s="164"/>
      <c r="HC54" s="164"/>
      <c r="HD54" s="164"/>
      <c r="HE54" s="164"/>
      <c r="HF54" s="164"/>
      <c r="HG54" s="164"/>
      <c r="HH54" s="164"/>
      <c r="HI54" s="164"/>
      <c r="HJ54" s="164"/>
      <c r="HK54" s="164"/>
      <c r="HL54" s="164"/>
      <c r="HM54" s="164"/>
      <c r="HN54" s="164"/>
      <c r="HO54" s="164"/>
      <c r="HP54" s="164"/>
      <c r="HQ54" s="164"/>
      <c r="HR54" s="164"/>
      <c r="HS54" s="164"/>
      <c r="HT54" s="164"/>
      <c r="HU54" s="164"/>
      <c r="HV54" s="164"/>
      <c r="HW54" s="164"/>
      <c r="HX54" s="164"/>
      <c r="HY54" s="164"/>
      <c r="HZ54" s="164"/>
      <c r="IA54" s="164"/>
      <c r="IB54" s="164"/>
      <c r="IC54" s="164"/>
      <c r="ID54" s="164"/>
      <c r="IE54" s="164"/>
      <c r="IF54" s="164"/>
      <c r="IG54" s="164"/>
      <c r="IH54" s="164"/>
      <c r="II54" s="164"/>
      <c r="IJ54" s="164"/>
      <c r="IK54" s="164"/>
      <c r="IL54" s="164"/>
      <c r="IM54" s="164"/>
      <c r="IN54" s="164"/>
      <c r="IO54" s="164"/>
      <c r="IP54" s="164"/>
      <c r="IQ54" s="164"/>
      <c r="IR54" s="164"/>
      <c r="IS54" s="164"/>
      <c r="IT54" s="164"/>
      <c r="IU54" s="164"/>
      <c r="IV54" s="164"/>
      <c r="IW54" s="164"/>
      <c r="IX54" s="164"/>
      <c r="IY54" s="164"/>
      <c r="IZ54" s="164"/>
      <c r="JA54" s="164"/>
      <c r="JB54" s="164"/>
      <c r="JC54" s="164"/>
      <c r="JD54" s="164"/>
      <c r="JE54" s="164"/>
      <c r="JF54" s="164"/>
      <c r="JG54" s="164"/>
      <c r="JH54" s="164"/>
      <c r="JI54" s="164"/>
      <c r="JJ54" s="164"/>
      <c r="JK54" s="164"/>
      <c r="JL54" s="164"/>
      <c r="JM54" s="164"/>
      <c r="JN54" s="164"/>
      <c r="JO54" s="164"/>
      <c r="JP54" s="164"/>
      <c r="JQ54" s="164"/>
      <c r="JR54" s="164"/>
      <c r="JS54" s="164"/>
      <c r="JT54" s="164"/>
      <c r="JU54" s="164"/>
      <c r="JV54" s="164"/>
      <c r="JW54" s="164"/>
      <c r="JX54" s="164"/>
      <c r="JY54" s="164"/>
      <c r="JZ54" s="164"/>
      <c r="KA54" s="164"/>
      <c r="KB54" s="164"/>
      <c r="KC54" s="164"/>
      <c r="KD54" s="164"/>
      <c r="KE54" s="164"/>
      <c r="KF54" s="164"/>
      <c r="KG54" s="164"/>
      <c r="KH54" s="164"/>
      <c r="KI54" s="164"/>
      <c r="KJ54" s="164"/>
      <c r="KK54" s="164"/>
      <c r="KL54" s="164"/>
      <c r="KM54" s="164"/>
      <c r="KN54" s="164"/>
      <c r="KO54" s="164"/>
      <c r="KP54" s="164"/>
      <c r="KQ54" s="164"/>
      <c r="KR54" s="164"/>
      <c r="KS54" s="164"/>
      <c r="KT54" s="164"/>
      <c r="KU54" s="164"/>
      <c r="KV54" s="164"/>
      <c r="KW54" s="164"/>
      <c r="KX54" s="164"/>
      <c r="KY54" s="164"/>
      <c r="KZ54" s="164"/>
      <c r="LA54" s="164"/>
      <c r="LB54" s="164"/>
      <c r="LC54" s="164"/>
      <c r="LD54" s="164"/>
      <c r="LE54" s="164"/>
      <c r="LF54" s="164"/>
      <c r="LG54" s="164"/>
      <c r="LH54" s="164"/>
      <c r="LI54" s="164"/>
      <c r="LJ54" s="164"/>
      <c r="LK54" s="164"/>
      <c r="LL54" s="164"/>
      <c r="LM54" s="164"/>
      <c r="LN54" s="164"/>
      <c r="LO54" s="164"/>
      <c r="LP54" s="164"/>
      <c r="LQ54" s="164"/>
      <c r="LR54" s="164"/>
      <c r="LS54" s="164"/>
      <c r="LT54" s="164"/>
      <c r="LU54" s="164"/>
      <c r="LV54" s="164"/>
      <c r="LW54" s="164"/>
      <c r="LX54" s="164"/>
      <c r="LY54" s="164"/>
      <c r="LZ54" s="164"/>
      <c r="MA54" s="164"/>
      <c r="MB54" s="164"/>
      <c r="MC54" s="164"/>
      <c r="MD54" s="164"/>
      <c r="ME54" s="164"/>
      <c r="MF54" s="164"/>
      <c r="MG54" s="164"/>
      <c r="MH54" s="164"/>
    </row>
    <row r="55" spans="1:346" s="165" customFormat="1" ht="16" x14ac:dyDescent="0.2">
      <c r="A55" s="65"/>
      <c r="B55" s="65"/>
      <c r="C55" s="65"/>
      <c r="D55" s="65"/>
      <c r="E55" s="65"/>
      <c r="F55" s="65"/>
      <c r="G55" s="65"/>
      <c r="H55" s="65"/>
      <c r="I55" s="65"/>
      <c r="J55" s="65"/>
      <c r="K55" s="65"/>
      <c r="L55" s="65"/>
      <c r="M55" s="65"/>
      <c r="N55" s="65"/>
      <c r="O55" s="65"/>
      <c r="P55" s="65"/>
      <c r="Q55" s="65"/>
      <c r="R55" s="164"/>
      <c r="S55" s="164"/>
      <c r="T55" s="164"/>
      <c r="U55" s="164"/>
      <c r="V55" s="164"/>
      <c r="W55" s="164"/>
      <c r="X55" s="164"/>
      <c r="Y55" s="164"/>
      <c r="Z55" s="164"/>
      <c r="AA55" s="164"/>
      <c r="AB55" s="164"/>
      <c r="AC55" s="164"/>
      <c r="AD55" s="164"/>
      <c r="AE55" s="164"/>
      <c r="AF55" s="164"/>
      <c r="AG55" s="164"/>
      <c r="AH55" s="164"/>
      <c r="AI55" s="164"/>
      <c r="AJ55" s="164"/>
      <c r="AK55" s="164"/>
      <c r="AL55" s="164"/>
      <c r="AM55" s="164"/>
      <c r="AN55" s="164"/>
      <c r="AO55" s="164"/>
      <c r="AP55" s="164"/>
      <c r="AQ55" s="164"/>
      <c r="AR55" s="164"/>
      <c r="AS55" s="164"/>
      <c r="AT55" s="164"/>
      <c r="AU55" s="164"/>
      <c r="AV55" s="164"/>
      <c r="AW55" s="164"/>
      <c r="AX55" s="164"/>
      <c r="AY55" s="164"/>
      <c r="AZ55" s="164"/>
      <c r="BA55" s="164"/>
      <c r="BB55" s="164"/>
      <c r="BC55" s="164"/>
      <c r="BD55" s="164"/>
      <c r="BE55" s="164"/>
      <c r="BF55" s="164"/>
      <c r="BG55" s="164"/>
      <c r="BH55" s="164"/>
      <c r="BI55" s="164"/>
      <c r="BJ55" s="164"/>
      <c r="BK55" s="164"/>
      <c r="BL55" s="164"/>
      <c r="BM55" s="164"/>
      <c r="BN55" s="164"/>
      <c r="BO55" s="164"/>
      <c r="BP55" s="164"/>
      <c r="BQ55" s="164"/>
      <c r="BR55" s="164"/>
      <c r="BS55" s="164"/>
      <c r="BT55" s="164"/>
      <c r="BU55" s="164"/>
      <c r="BV55" s="164"/>
      <c r="BW55" s="164"/>
      <c r="BX55" s="164"/>
      <c r="BY55" s="164"/>
      <c r="BZ55" s="164"/>
      <c r="CA55" s="164"/>
      <c r="CB55" s="164"/>
      <c r="CC55" s="164"/>
      <c r="CD55" s="164"/>
      <c r="CE55" s="164"/>
      <c r="CF55" s="164"/>
      <c r="CG55" s="164"/>
      <c r="CH55" s="164"/>
      <c r="CI55" s="164"/>
      <c r="CJ55" s="164"/>
      <c r="CK55" s="164"/>
      <c r="CL55" s="164"/>
      <c r="CM55" s="164"/>
      <c r="CN55" s="164"/>
      <c r="CO55" s="164"/>
      <c r="CP55" s="164"/>
      <c r="CQ55" s="164"/>
      <c r="CR55" s="164"/>
      <c r="CS55" s="164"/>
      <c r="CT55" s="164"/>
      <c r="CU55" s="164"/>
      <c r="CV55" s="164"/>
      <c r="CW55" s="164"/>
      <c r="CX55" s="164"/>
      <c r="CY55" s="164"/>
      <c r="CZ55" s="164"/>
      <c r="DA55" s="164"/>
      <c r="DB55" s="164"/>
      <c r="DC55" s="164"/>
      <c r="DD55" s="164"/>
      <c r="DE55" s="164"/>
      <c r="DF55" s="164"/>
      <c r="DG55" s="164"/>
      <c r="DH55" s="164"/>
      <c r="DI55" s="164"/>
      <c r="DJ55" s="164"/>
      <c r="DK55" s="164"/>
      <c r="DL55" s="164"/>
      <c r="DM55" s="164"/>
      <c r="DN55" s="164"/>
      <c r="DO55" s="164"/>
      <c r="DP55" s="164"/>
      <c r="DQ55" s="164"/>
      <c r="DR55" s="164"/>
      <c r="DS55" s="164"/>
      <c r="DT55" s="164"/>
      <c r="DU55" s="164"/>
      <c r="DV55" s="164"/>
      <c r="DW55" s="164"/>
      <c r="DX55" s="164"/>
      <c r="DY55" s="164"/>
      <c r="DZ55" s="164"/>
      <c r="EA55" s="164"/>
      <c r="EB55" s="164"/>
      <c r="EC55" s="164"/>
      <c r="ED55" s="164"/>
      <c r="EE55" s="164"/>
      <c r="EF55" s="164"/>
      <c r="EG55" s="164"/>
      <c r="EH55" s="164"/>
      <c r="EI55" s="164"/>
      <c r="EJ55" s="164"/>
      <c r="EK55" s="164"/>
      <c r="EL55" s="164"/>
      <c r="EM55" s="164"/>
      <c r="EN55" s="164"/>
      <c r="EO55" s="164"/>
      <c r="EP55" s="164"/>
      <c r="EQ55" s="164"/>
      <c r="ER55" s="164"/>
      <c r="ES55" s="164"/>
      <c r="ET55" s="164"/>
      <c r="EU55" s="164"/>
      <c r="EV55" s="164"/>
      <c r="EW55" s="164"/>
      <c r="EX55" s="164"/>
      <c r="EY55" s="164"/>
      <c r="EZ55" s="164"/>
      <c r="FA55" s="164"/>
      <c r="FB55" s="164"/>
      <c r="FC55" s="164"/>
      <c r="FD55" s="164"/>
      <c r="FE55" s="164"/>
      <c r="FF55" s="164"/>
      <c r="FG55" s="164"/>
      <c r="FH55" s="164"/>
      <c r="FI55" s="164"/>
      <c r="FJ55" s="164"/>
      <c r="FK55" s="164"/>
      <c r="FL55" s="164"/>
      <c r="FM55" s="164"/>
      <c r="FN55" s="164"/>
      <c r="FO55" s="164"/>
      <c r="FP55" s="164"/>
      <c r="FQ55" s="164"/>
      <c r="FR55" s="164"/>
      <c r="FS55" s="164"/>
      <c r="FT55" s="164"/>
      <c r="FU55" s="164"/>
      <c r="FV55" s="164"/>
      <c r="FW55" s="164"/>
      <c r="FX55" s="164"/>
      <c r="FY55" s="164"/>
      <c r="FZ55" s="164"/>
      <c r="GA55" s="164"/>
      <c r="GB55" s="164"/>
      <c r="GC55" s="164"/>
      <c r="GD55" s="164"/>
      <c r="GE55" s="164"/>
      <c r="GF55" s="164"/>
      <c r="GG55" s="164"/>
      <c r="GH55" s="164"/>
      <c r="GI55" s="164"/>
      <c r="GJ55" s="164"/>
      <c r="GK55" s="164"/>
      <c r="GL55" s="164"/>
      <c r="GM55" s="164"/>
      <c r="GN55" s="164"/>
      <c r="GO55" s="164"/>
      <c r="GP55" s="164"/>
      <c r="GQ55" s="164"/>
      <c r="GR55" s="164"/>
      <c r="GS55" s="164"/>
      <c r="GT55" s="164"/>
      <c r="GU55" s="164"/>
      <c r="GV55" s="164"/>
      <c r="GW55" s="164"/>
      <c r="GX55" s="164"/>
      <c r="GY55" s="164"/>
      <c r="GZ55" s="164"/>
      <c r="HA55" s="164"/>
      <c r="HB55" s="164"/>
      <c r="HC55" s="164"/>
      <c r="HD55" s="164"/>
      <c r="HE55" s="164"/>
      <c r="HF55" s="164"/>
      <c r="HG55" s="164"/>
      <c r="HH55" s="164"/>
      <c r="HI55" s="164"/>
      <c r="HJ55" s="164"/>
      <c r="HK55" s="164"/>
      <c r="HL55" s="164"/>
      <c r="HM55" s="164"/>
      <c r="HN55" s="164"/>
      <c r="HO55" s="164"/>
      <c r="HP55" s="164"/>
      <c r="HQ55" s="164"/>
      <c r="HR55" s="164"/>
      <c r="HS55" s="164"/>
      <c r="HT55" s="164"/>
      <c r="HU55" s="164"/>
      <c r="HV55" s="164"/>
      <c r="HW55" s="164"/>
      <c r="HX55" s="164"/>
      <c r="HY55" s="164"/>
      <c r="HZ55" s="164"/>
      <c r="IA55" s="164"/>
      <c r="IB55" s="164"/>
      <c r="IC55" s="164"/>
      <c r="ID55" s="164"/>
      <c r="IE55" s="164"/>
      <c r="IF55" s="164"/>
      <c r="IG55" s="164"/>
      <c r="IH55" s="164"/>
      <c r="II55" s="164"/>
      <c r="IJ55" s="164"/>
      <c r="IK55" s="164"/>
      <c r="IL55" s="164"/>
      <c r="IM55" s="164"/>
      <c r="IN55" s="164"/>
      <c r="IO55" s="164"/>
      <c r="IP55" s="164"/>
      <c r="IQ55" s="164"/>
      <c r="IR55" s="164"/>
      <c r="IS55" s="164"/>
      <c r="IT55" s="164"/>
      <c r="IU55" s="164"/>
      <c r="IV55" s="164"/>
      <c r="IW55" s="164"/>
      <c r="IX55" s="164"/>
      <c r="IY55" s="164"/>
      <c r="IZ55" s="164"/>
      <c r="JA55" s="164"/>
      <c r="JB55" s="164"/>
      <c r="JC55" s="164"/>
      <c r="JD55" s="164"/>
      <c r="JE55" s="164"/>
      <c r="JF55" s="164"/>
      <c r="JG55" s="164"/>
      <c r="JH55" s="164"/>
      <c r="JI55" s="164"/>
      <c r="JJ55" s="164"/>
      <c r="JK55" s="164"/>
      <c r="JL55" s="164"/>
      <c r="JM55" s="164"/>
      <c r="JN55" s="164"/>
      <c r="JO55" s="164"/>
      <c r="JP55" s="164"/>
      <c r="JQ55" s="164"/>
      <c r="JR55" s="164"/>
      <c r="JS55" s="164"/>
      <c r="JT55" s="164"/>
      <c r="JU55" s="164"/>
      <c r="JV55" s="164"/>
      <c r="JW55" s="164"/>
      <c r="JX55" s="164"/>
      <c r="JY55" s="164"/>
      <c r="JZ55" s="164"/>
      <c r="KA55" s="164"/>
      <c r="KB55" s="164"/>
      <c r="KC55" s="164"/>
      <c r="KD55" s="164"/>
      <c r="KE55" s="164"/>
      <c r="KF55" s="164"/>
      <c r="KG55" s="164"/>
      <c r="KH55" s="164"/>
      <c r="KI55" s="164"/>
      <c r="KJ55" s="164"/>
      <c r="KK55" s="164"/>
      <c r="KL55" s="164"/>
      <c r="KM55" s="164"/>
      <c r="KN55" s="164"/>
      <c r="KO55" s="164"/>
      <c r="KP55" s="164"/>
      <c r="KQ55" s="164"/>
      <c r="KR55" s="164"/>
      <c r="KS55" s="164"/>
      <c r="KT55" s="164"/>
      <c r="KU55" s="164"/>
      <c r="KV55" s="164"/>
      <c r="KW55" s="164"/>
      <c r="KX55" s="164"/>
      <c r="KY55" s="164"/>
      <c r="KZ55" s="164"/>
      <c r="LA55" s="164"/>
      <c r="LB55" s="164"/>
      <c r="LC55" s="164"/>
      <c r="LD55" s="164"/>
      <c r="LE55" s="164"/>
      <c r="LF55" s="164"/>
      <c r="LG55" s="164"/>
      <c r="LH55" s="164"/>
      <c r="LI55" s="164"/>
      <c r="LJ55" s="164"/>
      <c r="LK55" s="164"/>
      <c r="LL55" s="164"/>
      <c r="LM55" s="164"/>
      <c r="LN55" s="164"/>
      <c r="LO55" s="164"/>
      <c r="LP55" s="164"/>
      <c r="LQ55" s="164"/>
      <c r="LR55" s="164"/>
      <c r="LS55" s="164"/>
      <c r="LT55" s="164"/>
      <c r="LU55" s="164"/>
      <c r="LV55" s="164"/>
      <c r="LW55" s="164"/>
      <c r="LX55" s="164"/>
      <c r="LY55" s="164"/>
      <c r="LZ55" s="164"/>
      <c r="MA55" s="164"/>
      <c r="MB55" s="164"/>
      <c r="MC55" s="164"/>
      <c r="MD55" s="164"/>
      <c r="ME55" s="164"/>
      <c r="MF55" s="164"/>
      <c r="MG55" s="164"/>
      <c r="MH55" s="164"/>
    </row>
    <row r="56" spans="1:346" s="165" customFormat="1" ht="16" x14ac:dyDescent="0.2">
      <c r="A56" s="65"/>
      <c r="B56" s="65"/>
      <c r="C56" s="65"/>
      <c r="D56" s="65"/>
      <c r="E56" s="65"/>
      <c r="F56" s="65"/>
      <c r="G56" s="65"/>
      <c r="H56" s="65"/>
      <c r="I56" s="65"/>
      <c r="J56" s="65"/>
      <c r="K56" s="65"/>
      <c r="L56" s="65"/>
      <c r="M56" s="65"/>
      <c r="N56" s="65"/>
      <c r="O56" s="65"/>
      <c r="P56" s="65"/>
      <c r="Q56" s="65"/>
      <c r="R56" s="164"/>
      <c r="S56" s="164"/>
      <c r="T56" s="164"/>
      <c r="U56" s="164"/>
      <c r="V56" s="164"/>
      <c r="W56" s="164"/>
      <c r="X56" s="164"/>
      <c r="Y56" s="164"/>
      <c r="Z56" s="164"/>
      <c r="AA56" s="164"/>
      <c r="AB56" s="164"/>
      <c r="AC56" s="164"/>
      <c r="AD56" s="164"/>
      <c r="AE56" s="164"/>
      <c r="AF56" s="164"/>
      <c r="AG56" s="164"/>
      <c r="AH56" s="164"/>
      <c r="AI56" s="164"/>
      <c r="AJ56" s="164"/>
      <c r="AK56" s="164"/>
      <c r="AL56" s="164"/>
      <c r="AM56" s="164"/>
      <c r="AN56" s="164"/>
      <c r="AO56" s="164"/>
      <c r="AP56" s="164"/>
      <c r="AQ56" s="164"/>
      <c r="AR56" s="164"/>
      <c r="AS56" s="164"/>
      <c r="AT56" s="164"/>
      <c r="AU56" s="164"/>
      <c r="AV56" s="164"/>
      <c r="AW56" s="164"/>
      <c r="AX56" s="164"/>
      <c r="AY56" s="164"/>
      <c r="AZ56" s="164"/>
      <c r="BA56" s="164"/>
      <c r="BB56" s="164"/>
      <c r="BC56" s="164"/>
      <c r="BD56" s="164"/>
      <c r="BE56" s="164"/>
      <c r="BF56" s="164"/>
      <c r="BG56" s="164"/>
      <c r="BH56" s="164"/>
      <c r="BI56" s="164"/>
      <c r="BJ56" s="164"/>
      <c r="BK56" s="164"/>
      <c r="BL56" s="164"/>
      <c r="BM56" s="164"/>
      <c r="BN56" s="164"/>
      <c r="BO56" s="164"/>
      <c r="BP56" s="164"/>
      <c r="BQ56" s="164"/>
      <c r="BR56" s="164"/>
      <c r="BS56" s="164"/>
      <c r="BT56" s="164"/>
      <c r="BU56" s="164"/>
      <c r="BV56" s="164"/>
      <c r="BW56" s="164"/>
      <c r="BX56" s="164"/>
      <c r="BY56" s="164"/>
      <c r="BZ56" s="164"/>
      <c r="CA56" s="164"/>
      <c r="CB56" s="164"/>
      <c r="CC56" s="164"/>
      <c r="CD56" s="164"/>
      <c r="CE56" s="164"/>
      <c r="CF56" s="164"/>
      <c r="CG56" s="164"/>
      <c r="CH56" s="164"/>
      <c r="CI56" s="164"/>
      <c r="CJ56" s="164"/>
      <c r="CK56" s="164"/>
      <c r="CL56" s="164"/>
      <c r="CM56" s="164"/>
      <c r="CN56" s="164"/>
      <c r="CO56" s="164"/>
      <c r="CP56" s="164"/>
      <c r="CQ56" s="164"/>
      <c r="CR56" s="164"/>
      <c r="CS56" s="164"/>
      <c r="CT56" s="164"/>
      <c r="CU56" s="164"/>
      <c r="CV56" s="164"/>
      <c r="CW56" s="164"/>
      <c r="CX56" s="164"/>
      <c r="CY56" s="164"/>
      <c r="CZ56" s="164"/>
      <c r="DA56" s="164"/>
      <c r="DB56" s="164"/>
      <c r="DC56" s="164"/>
      <c r="DD56" s="164"/>
      <c r="DE56" s="164"/>
      <c r="DF56" s="164"/>
      <c r="DG56" s="164"/>
      <c r="DH56" s="164"/>
      <c r="DI56" s="164"/>
      <c r="DJ56" s="164"/>
      <c r="DK56" s="164"/>
      <c r="DL56" s="164"/>
      <c r="DM56" s="164"/>
      <c r="DN56" s="164"/>
      <c r="DO56" s="164"/>
      <c r="DP56" s="164"/>
      <c r="DQ56" s="164"/>
      <c r="DR56" s="164"/>
      <c r="DS56" s="164"/>
      <c r="DT56" s="164"/>
      <c r="DU56" s="164"/>
      <c r="DV56" s="164"/>
      <c r="DW56" s="164"/>
      <c r="DX56" s="164"/>
      <c r="DY56" s="164"/>
      <c r="DZ56" s="164"/>
      <c r="EA56" s="164"/>
      <c r="EB56" s="164"/>
      <c r="EC56" s="164"/>
      <c r="ED56" s="164"/>
      <c r="EE56" s="164"/>
      <c r="EF56" s="164"/>
      <c r="EG56" s="164"/>
      <c r="EH56" s="164"/>
      <c r="EI56" s="164"/>
      <c r="EJ56" s="164"/>
      <c r="EK56" s="164"/>
      <c r="EL56" s="164"/>
      <c r="EM56" s="164"/>
      <c r="EN56" s="164"/>
      <c r="EO56" s="164"/>
      <c r="EP56" s="164"/>
      <c r="EQ56" s="164"/>
      <c r="ER56" s="164"/>
      <c r="ES56" s="164"/>
      <c r="ET56" s="164"/>
      <c r="EU56" s="164"/>
      <c r="EV56" s="164"/>
      <c r="EW56" s="164"/>
      <c r="EX56" s="164"/>
      <c r="EY56" s="164"/>
      <c r="EZ56" s="164"/>
      <c r="FA56" s="164"/>
      <c r="FB56" s="164"/>
      <c r="FC56" s="164"/>
      <c r="FD56" s="164"/>
      <c r="FE56" s="164"/>
      <c r="FF56" s="164"/>
      <c r="FG56" s="164"/>
      <c r="FH56" s="164"/>
      <c r="FI56" s="164"/>
      <c r="FJ56" s="164"/>
      <c r="FK56" s="164"/>
      <c r="FL56" s="164"/>
      <c r="FM56" s="164"/>
      <c r="FN56" s="164"/>
      <c r="FO56" s="164"/>
      <c r="FP56" s="164"/>
      <c r="FQ56" s="164"/>
      <c r="FR56" s="164"/>
      <c r="FS56" s="164"/>
      <c r="FT56" s="164"/>
      <c r="FU56" s="164"/>
      <c r="FV56" s="164"/>
      <c r="FW56" s="164"/>
      <c r="FX56" s="164"/>
      <c r="FY56" s="164"/>
      <c r="FZ56" s="164"/>
      <c r="GA56" s="164"/>
      <c r="GB56" s="164"/>
      <c r="GC56" s="164"/>
      <c r="GD56" s="164"/>
      <c r="GE56" s="164"/>
      <c r="GF56" s="164"/>
      <c r="GG56" s="164"/>
      <c r="GH56" s="164"/>
      <c r="GI56" s="164"/>
      <c r="GJ56" s="164"/>
      <c r="GK56" s="164"/>
      <c r="GL56" s="164"/>
      <c r="GM56" s="164"/>
      <c r="GN56" s="164"/>
      <c r="GO56" s="164"/>
      <c r="GP56" s="164"/>
      <c r="GQ56" s="164"/>
      <c r="GR56" s="164"/>
      <c r="GS56" s="164"/>
      <c r="GT56" s="164"/>
      <c r="GU56" s="164"/>
      <c r="GV56" s="164"/>
      <c r="GW56" s="164"/>
      <c r="GX56" s="164"/>
      <c r="GY56" s="164"/>
      <c r="GZ56" s="164"/>
      <c r="HA56" s="164"/>
      <c r="HB56" s="164"/>
      <c r="HC56" s="164"/>
      <c r="HD56" s="164"/>
      <c r="HE56" s="164"/>
      <c r="HF56" s="164"/>
      <c r="HG56" s="164"/>
      <c r="HH56" s="164"/>
      <c r="HI56" s="164"/>
      <c r="HJ56" s="164"/>
      <c r="HK56" s="164"/>
      <c r="HL56" s="164"/>
      <c r="HM56" s="164"/>
      <c r="HN56" s="164"/>
      <c r="HO56" s="164"/>
      <c r="HP56" s="164"/>
      <c r="HQ56" s="164"/>
      <c r="HR56" s="164"/>
      <c r="HS56" s="164"/>
      <c r="HT56" s="164"/>
      <c r="HU56" s="164"/>
      <c r="HV56" s="164"/>
      <c r="HW56" s="164"/>
      <c r="HX56" s="164"/>
      <c r="HY56" s="164"/>
      <c r="HZ56" s="164"/>
      <c r="IA56" s="164"/>
      <c r="IB56" s="164"/>
      <c r="IC56" s="164"/>
      <c r="ID56" s="164"/>
      <c r="IE56" s="164"/>
      <c r="IF56" s="164"/>
      <c r="IG56" s="164"/>
      <c r="IH56" s="164"/>
      <c r="II56" s="164"/>
      <c r="IJ56" s="164"/>
      <c r="IK56" s="164"/>
      <c r="IL56" s="164"/>
      <c r="IM56" s="164"/>
      <c r="IN56" s="164"/>
      <c r="IO56" s="164"/>
      <c r="IP56" s="164"/>
      <c r="IQ56" s="164"/>
      <c r="IR56" s="164"/>
      <c r="IS56" s="164"/>
      <c r="IT56" s="164"/>
      <c r="IU56" s="164"/>
      <c r="IV56" s="164"/>
      <c r="IW56" s="164"/>
      <c r="IX56" s="164"/>
      <c r="IY56" s="164"/>
      <c r="IZ56" s="164"/>
      <c r="JA56" s="164"/>
      <c r="JB56" s="164"/>
      <c r="JC56" s="164"/>
      <c r="JD56" s="164"/>
      <c r="JE56" s="164"/>
      <c r="JF56" s="164"/>
      <c r="JG56" s="164"/>
      <c r="JH56" s="164"/>
      <c r="JI56" s="164"/>
      <c r="JJ56" s="164"/>
      <c r="JK56" s="164"/>
      <c r="JL56" s="164"/>
      <c r="JM56" s="164"/>
      <c r="JN56" s="164"/>
      <c r="JO56" s="164"/>
      <c r="JP56" s="164"/>
      <c r="JQ56" s="164"/>
      <c r="JR56" s="164"/>
      <c r="JS56" s="164"/>
      <c r="JT56" s="164"/>
      <c r="JU56" s="164"/>
      <c r="JV56" s="164"/>
      <c r="JW56" s="164"/>
      <c r="JX56" s="164"/>
      <c r="JY56" s="164"/>
      <c r="JZ56" s="164"/>
      <c r="KA56" s="164"/>
      <c r="KB56" s="164"/>
      <c r="KC56" s="164"/>
      <c r="KD56" s="164"/>
      <c r="KE56" s="164"/>
      <c r="KF56" s="164"/>
      <c r="KG56" s="164"/>
      <c r="KH56" s="164"/>
      <c r="KI56" s="164"/>
      <c r="KJ56" s="164"/>
      <c r="KK56" s="164"/>
      <c r="KL56" s="164"/>
      <c r="KM56" s="164"/>
      <c r="KN56" s="164"/>
      <c r="KO56" s="164"/>
      <c r="KP56" s="164"/>
      <c r="KQ56" s="164"/>
      <c r="KR56" s="164"/>
      <c r="KS56" s="164"/>
      <c r="KT56" s="164"/>
      <c r="KU56" s="164"/>
      <c r="KV56" s="164"/>
      <c r="KW56" s="164"/>
      <c r="KX56" s="164"/>
      <c r="KY56" s="164"/>
      <c r="KZ56" s="164"/>
      <c r="LA56" s="164"/>
      <c r="LB56" s="164"/>
      <c r="LC56" s="164"/>
      <c r="LD56" s="164"/>
      <c r="LE56" s="164"/>
      <c r="LF56" s="164"/>
      <c r="LG56" s="164"/>
      <c r="LH56" s="164"/>
      <c r="LI56" s="164"/>
      <c r="LJ56" s="164"/>
      <c r="LK56" s="164"/>
      <c r="LL56" s="164"/>
      <c r="LM56" s="164"/>
      <c r="LN56" s="164"/>
      <c r="LO56" s="164"/>
      <c r="LP56" s="164"/>
      <c r="LQ56" s="164"/>
      <c r="LR56" s="164"/>
      <c r="LS56" s="164"/>
      <c r="LT56" s="164"/>
      <c r="LU56" s="164"/>
      <c r="LV56" s="164"/>
      <c r="LW56" s="164"/>
      <c r="LX56" s="164"/>
      <c r="LY56" s="164"/>
      <c r="LZ56" s="164"/>
      <c r="MA56" s="164"/>
      <c r="MB56" s="164"/>
      <c r="MC56" s="164"/>
      <c r="MD56" s="164"/>
      <c r="ME56" s="164"/>
      <c r="MF56" s="164"/>
      <c r="MG56" s="164"/>
      <c r="MH56" s="164"/>
    </row>
    <row r="57" spans="1:346" s="165" customFormat="1" ht="16" x14ac:dyDescent="0.2">
      <c r="A57" s="65"/>
      <c r="B57" s="65"/>
      <c r="C57" s="65"/>
      <c r="D57" s="65"/>
      <c r="E57" s="65"/>
      <c r="F57" s="65"/>
      <c r="G57" s="65"/>
      <c r="H57" s="65"/>
      <c r="I57" s="65"/>
      <c r="J57" s="65"/>
      <c r="K57" s="65"/>
      <c r="L57" s="65"/>
      <c r="M57" s="65"/>
      <c r="N57" s="65"/>
      <c r="O57" s="65"/>
      <c r="P57" s="65"/>
      <c r="Q57" s="65"/>
      <c r="R57" s="164"/>
      <c r="S57" s="164"/>
      <c r="T57" s="164"/>
      <c r="U57" s="164"/>
      <c r="V57" s="164"/>
      <c r="W57" s="164"/>
      <c r="X57" s="164"/>
      <c r="Y57" s="164"/>
      <c r="Z57" s="164"/>
      <c r="AA57" s="164"/>
      <c r="AB57" s="164"/>
      <c r="AC57" s="164"/>
      <c r="AD57" s="164"/>
      <c r="AE57" s="164"/>
      <c r="AF57" s="164"/>
      <c r="AG57" s="164"/>
      <c r="AH57" s="164"/>
      <c r="AI57" s="164"/>
      <c r="AJ57" s="164"/>
      <c r="AK57" s="164"/>
      <c r="AL57" s="164"/>
      <c r="AM57" s="164"/>
      <c r="AN57" s="164"/>
      <c r="AO57" s="164"/>
      <c r="AP57" s="164"/>
      <c r="AQ57" s="164"/>
      <c r="AR57" s="164"/>
      <c r="AS57" s="164"/>
      <c r="AT57" s="164"/>
      <c r="AU57" s="164"/>
      <c r="AV57" s="164"/>
      <c r="AW57" s="164"/>
      <c r="AX57" s="164"/>
      <c r="AY57" s="164"/>
      <c r="AZ57" s="164"/>
      <c r="BA57" s="164"/>
      <c r="BB57" s="164"/>
      <c r="BC57" s="164"/>
      <c r="BD57" s="164"/>
      <c r="BE57" s="164"/>
      <c r="BF57" s="164"/>
      <c r="BG57" s="164"/>
      <c r="BH57" s="164"/>
      <c r="BI57" s="164"/>
      <c r="BJ57" s="164"/>
      <c r="BK57" s="164"/>
      <c r="BL57" s="164"/>
      <c r="BM57" s="164"/>
      <c r="BN57" s="164"/>
      <c r="BO57" s="164"/>
      <c r="BP57" s="164"/>
      <c r="BQ57" s="164"/>
      <c r="BR57" s="164"/>
      <c r="BS57" s="164"/>
      <c r="BT57" s="164"/>
      <c r="BU57" s="164"/>
      <c r="BV57" s="164"/>
      <c r="BW57" s="164"/>
      <c r="BX57" s="164"/>
      <c r="BY57" s="164"/>
      <c r="BZ57" s="164"/>
      <c r="CA57" s="164"/>
      <c r="CB57" s="164"/>
      <c r="CC57" s="164"/>
      <c r="CD57" s="164"/>
      <c r="CE57" s="164"/>
      <c r="CF57" s="164"/>
      <c r="CG57" s="164"/>
      <c r="CH57" s="164"/>
      <c r="CI57" s="164"/>
      <c r="CJ57" s="164"/>
      <c r="CK57" s="164"/>
      <c r="CL57" s="164"/>
      <c r="CM57" s="164"/>
      <c r="CN57" s="164"/>
      <c r="CO57" s="164"/>
      <c r="CP57" s="164"/>
      <c r="CQ57" s="164"/>
      <c r="CR57" s="164"/>
      <c r="CS57" s="164"/>
      <c r="CT57" s="164"/>
      <c r="CU57" s="164"/>
      <c r="CV57" s="164"/>
      <c r="CW57" s="164"/>
      <c r="CX57" s="164"/>
      <c r="CY57" s="164"/>
      <c r="CZ57" s="164"/>
      <c r="DA57" s="164"/>
      <c r="DB57" s="164"/>
      <c r="DC57" s="164"/>
      <c r="DD57" s="164"/>
      <c r="DE57" s="164"/>
      <c r="DF57" s="164"/>
      <c r="DG57" s="164"/>
      <c r="DH57" s="164"/>
      <c r="DI57" s="164"/>
      <c r="DJ57" s="164"/>
      <c r="DK57" s="164"/>
      <c r="DL57" s="164"/>
      <c r="DM57" s="164"/>
      <c r="DN57" s="164"/>
      <c r="DO57" s="164"/>
      <c r="DP57" s="164"/>
      <c r="DQ57" s="164"/>
      <c r="DR57" s="164"/>
      <c r="DS57" s="164"/>
      <c r="DT57" s="164"/>
      <c r="DU57" s="164"/>
      <c r="DV57" s="164"/>
      <c r="DW57" s="164"/>
      <c r="DX57" s="164"/>
      <c r="DY57" s="164"/>
      <c r="DZ57" s="164"/>
      <c r="EA57" s="164"/>
      <c r="EB57" s="164"/>
      <c r="EC57" s="164"/>
      <c r="ED57" s="164"/>
      <c r="EE57" s="164"/>
      <c r="EF57" s="164"/>
      <c r="EG57" s="164"/>
      <c r="EH57" s="164"/>
      <c r="EI57" s="164"/>
      <c r="EJ57" s="164"/>
      <c r="EK57" s="164"/>
      <c r="EL57" s="164"/>
      <c r="EM57" s="164"/>
      <c r="EN57" s="164"/>
      <c r="EO57" s="164"/>
      <c r="EP57" s="164"/>
      <c r="EQ57" s="164"/>
      <c r="ER57" s="164"/>
      <c r="ES57" s="164"/>
      <c r="ET57" s="164"/>
      <c r="EU57" s="164"/>
      <c r="EV57" s="164"/>
      <c r="EW57" s="164"/>
      <c r="EX57" s="164"/>
      <c r="EY57" s="164"/>
      <c r="EZ57" s="164"/>
      <c r="FA57" s="164"/>
      <c r="FB57" s="164"/>
      <c r="FC57" s="164"/>
      <c r="FD57" s="164"/>
      <c r="FE57" s="164"/>
      <c r="FF57" s="164"/>
      <c r="FG57" s="164"/>
      <c r="FH57" s="164"/>
      <c r="FI57" s="164"/>
      <c r="FJ57" s="164"/>
      <c r="FK57" s="164"/>
      <c r="FL57" s="164"/>
      <c r="FM57" s="164"/>
      <c r="FN57" s="164"/>
      <c r="FO57" s="164"/>
      <c r="FP57" s="164"/>
      <c r="FQ57" s="164"/>
      <c r="FR57" s="164"/>
      <c r="FS57" s="164"/>
      <c r="FT57" s="164"/>
      <c r="FU57" s="164"/>
      <c r="FV57" s="164"/>
      <c r="FW57" s="164"/>
      <c r="FX57" s="164"/>
      <c r="FY57" s="164"/>
      <c r="FZ57" s="164"/>
      <c r="GA57" s="164"/>
      <c r="GB57" s="164"/>
      <c r="GC57" s="164"/>
      <c r="GD57" s="164"/>
      <c r="GE57" s="164"/>
      <c r="GF57" s="164"/>
      <c r="GG57" s="164"/>
      <c r="GH57" s="164"/>
      <c r="GI57" s="164"/>
      <c r="GJ57" s="164"/>
      <c r="GK57" s="164"/>
      <c r="GL57" s="164"/>
      <c r="GM57" s="164"/>
      <c r="GN57" s="164"/>
      <c r="GO57" s="164"/>
      <c r="GP57" s="164"/>
      <c r="GQ57" s="164"/>
      <c r="GR57" s="164"/>
      <c r="GS57" s="164"/>
      <c r="GT57" s="164"/>
      <c r="GU57" s="164"/>
      <c r="GV57" s="164"/>
      <c r="GW57" s="164"/>
      <c r="GX57" s="164"/>
      <c r="GY57" s="164"/>
      <c r="GZ57" s="164"/>
      <c r="HA57" s="164"/>
      <c r="HB57" s="164"/>
      <c r="HC57" s="164"/>
      <c r="HD57" s="164"/>
      <c r="HE57" s="164"/>
      <c r="HF57" s="164"/>
      <c r="HG57" s="164"/>
      <c r="HH57" s="164"/>
      <c r="HI57" s="164"/>
      <c r="HJ57" s="164"/>
      <c r="HK57" s="164"/>
      <c r="HL57" s="164"/>
      <c r="HM57" s="164"/>
      <c r="HN57" s="164"/>
      <c r="HO57" s="164"/>
      <c r="HP57" s="164"/>
      <c r="HQ57" s="164"/>
      <c r="HR57" s="164"/>
      <c r="HS57" s="164"/>
      <c r="HT57" s="164"/>
      <c r="HU57" s="164"/>
      <c r="HV57" s="164"/>
      <c r="HW57" s="164"/>
      <c r="HX57" s="164"/>
      <c r="HY57" s="164"/>
      <c r="HZ57" s="164"/>
      <c r="IA57" s="164"/>
      <c r="IB57" s="164"/>
      <c r="IC57" s="164"/>
      <c r="ID57" s="164"/>
      <c r="IE57" s="164"/>
      <c r="IF57" s="164"/>
      <c r="IG57" s="164"/>
      <c r="IH57" s="164"/>
      <c r="II57" s="164"/>
      <c r="IJ57" s="164"/>
      <c r="IK57" s="164"/>
      <c r="IL57" s="164"/>
      <c r="IM57" s="164"/>
      <c r="IN57" s="164"/>
      <c r="IO57" s="164"/>
      <c r="IP57" s="164"/>
      <c r="IQ57" s="164"/>
      <c r="IR57" s="164"/>
      <c r="IS57" s="164"/>
      <c r="IT57" s="164"/>
      <c r="IU57" s="164"/>
      <c r="IV57" s="164"/>
      <c r="IW57" s="164"/>
      <c r="IX57" s="164"/>
      <c r="IY57" s="164"/>
      <c r="IZ57" s="164"/>
      <c r="JA57" s="164"/>
      <c r="JB57" s="164"/>
      <c r="JC57" s="164"/>
      <c r="JD57" s="164"/>
      <c r="JE57" s="164"/>
      <c r="JF57" s="164"/>
      <c r="JG57" s="164"/>
      <c r="JH57" s="164"/>
      <c r="JI57" s="164"/>
      <c r="JJ57" s="164"/>
      <c r="JK57" s="164"/>
      <c r="JL57" s="164"/>
      <c r="JM57" s="164"/>
      <c r="JN57" s="164"/>
      <c r="JO57" s="164"/>
      <c r="JP57" s="164"/>
      <c r="JQ57" s="164"/>
      <c r="JR57" s="164"/>
      <c r="JS57" s="164"/>
      <c r="JT57" s="164"/>
      <c r="JU57" s="164"/>
      <c r="JV57" s="164"/>
      <c r="JW57" s="164"/>
      <c r="JX57" s="164"/>
      <c r="JY57" s="164"/>
      <c r="JZ57" s="164"/>
      <c r="KA57" s="164"/>
      <c r="KB57" s="164"/>
      <c r="KC57" s="164"/>
      <c r="KD57" s="164"/>
      <c r="KE57" s="164"/>
      <c r="KF57" s="164"/>
      <c r="KG57" s="164"/>
      <c r="KH57" s="164"/>
      <c r="KI57" s="164"/>
      <c r="KJ57" s="164"/>
      <c r="KK57" s="164"/>
      <c r="KL57" s="164"/>
      <c r="KM57" s="164"/>
      <c r="KN57" s="164"/>
      <c r="KO57" s="164"/>
      <c r="KP57" s="164"/>
      <c r="KQ57" s="164"/>
      <c r="KR57" s="164"/>
      <c r="KS57" s="164"/>
      <c r="KT57" s="164"/>
      <c r="KU57" s="164"/>
      <c r="KV57" s="164"/>
      <c r="KW57" s="164"/>
      <c r="KX57" s="164"/>
      <c r="KY57" s="164"/>
      <c r="KZ57" s="164"/>
      <c r="LA57" s="164"/>
      <c r="LB57" s="164"/>
      <c r="LC57" s="164"/>
      <c r="LD57" s="164"/>
      <c r="LE57" s="164"/>
      <c r="LF57" s="164"/>
      <c r="LG57" s="164"/>
      <c r="LH57" s="164"/>
      <c r="LI57" s="164"/>
      <c r="LJ57" s="164"/>
      <c r="LK57" s="164"/>
      <c r="LL57" s="164"/>
      <c r="LM57" s="164"/>
      <c r="LN57" s="164"/>
      <c r="LO57" s="164"/>
      <c r="LP57" s="164"/>
      <c r="LQ57" s="164"/>
      <c r="LR57" s="164"/>
      <c r="LS57" s="164"/>
      <c r="LT57" s="164"/>
      <c r="LU57" s="164"/>
      <c r="LV57" s="164"/>
      <c r="LW57" s="164"/>
      <c r="LX57" s="164"/>
      <c r="LY57" s="164"/>
      <c r="LZ57" s="164"/>
      <c r="MA57" s="164"/>
      <c r="MB57" s="164"/>
      <c r="MC57" s="164"/>
      <c r="MD57" s="164"/>
      <c r="ME57" s="164"/>
      <c r="MF57" s="164"/>
      <c r="MG57" s="164"/>
      <c r="MH57" s="164"/>
    </row>
    <row r="58" spans="1:346" s="165" customFormat="1" ht="16" x14ac:dyDescent="0.2">
      <c r="A58" s="65"/>
      <c r="B58" s="65"/>
      <c r="C58" s="65"/>
      <c r="D58" s="65"/>
      <c r="E58" s="65"/>
      <c r="F58" s="65"/>
      <c r="G58" s="65"/>
      <c r="H58" s="65"/>
      <c r="I58" s="65"/>
      <c r="J58" s="65"/>
      <c r="K58" s="65"/>
      <c r="L58" s="65"/>
      <c r="M58" s="65"/>
      <c r="N58" s="65"/>
      <c r="O58" s="65"/>
      <c r="P58" s="65"/>
      <c r="Q58" s="65"/>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164"/>
      <c r="BN58" s="164"/>
      <c r="BO58" s="164"/>
      <c r="BP58" s="164"/>
      <c r="BQ58" s="164"/>
      <c r="BR58" s="164"/>
      <c r="BS58" s="164"/>
      <c r="BT58" s="164"/>
      <c r="BU58" s="164"/>
      <c r="BV58" s="164"/>
      <c r="BW58" s="164"/>
      <c r="BX58" s="164"/>
      <c r="BY58" s="164"/>
      <c r="BZ58" s="164"/>
      <c r="CA58" s="164"/>
      <c r="CB58" s="164"/>
      <c r="CC58" s="164"/>
      <c r="CD58" s="164"/>
      <c r="CE58" s="164"/>
      <c r="CF58" s="164"/>
      <c r="CG58" s="164"/>
      <c r="CH58" s="164"/>
      <c r="CI58" s="164"/>
      <c r="CJ58" s="164"/>
      <c r="CK58" s="164"/>
      <c r="CL58" s="164"/>
      <c r="CM58" s="164"/>
      <c r="CN58" s="164"/>
      <c r="CO58" s="164"/>
      <c r="CP58" s="164"/>
      <c r="CQ58" s="164"/>
      <c r="CR58" s="164"/>
      <c r="CS58" s="164"/>
      <c r="CT58" s="164"/>
      <c r="CU58" s="164"/>
      <c r="CV58" s="164"/>
      <c r="CW58" s="164"/>
      <c r="CX58" s="164"/>
      <c r="CY58" s="164"/>
      <c r="CZ58" s="164"/>
      <c r="DA58" s="164"/>
      <c r="DB58" s="164"/>
      <c r="DC58" s="164"/>
      <c r="DD58" s="164"/>
      <c r="DE58" s="164"/>
      <c r="DF58" s="164"/>
      <c r="DG58" s="164"/>
      <c r="DH58" s="164"/>
      <c r="DI58" s="164"/>
      <c r="DJ58" s="164"/>
      <c r="DK58" s="164"/>
      <c r="DL58" s="164"/>
      <c r="DM58" s="164"/>
      <c r="DN58" s="164"/>
      <c r="DO58" s="164"/>
      <c r="DP58" s="164"/>
      <c r="DQ58" s="164"/>
      <c r="DR58" s="164"/>
      <c r="DS58" s="164"/>
      <c r="DT58" s="164"/>
      <c r="DU58" s="164"/>
      <c r="DV58" s="164"/>
      <c r="DW58" s="164"/>
      <c r="DX58" s="164"/>
      <c r="DY58" s="164"/>
      <c r="DZ58" s="164"/>
      <c r="EA58" s="164"/>
      <c r="EB58" s="164"/>
      <c r="EC58" s="164"/>
      <c r="ED58" s="164"/>
      <c r="EE58" s="164"/>
      <c r="EF58" s="164"/>
      <c r="EG58" s="164"/>
      <c r="EH58" s="164"/>
      <c r="EI58" s="164"/>
      <c r="EJ58" s="164"/>
      <c r="EK58" s="164"/>
      <c r="EL58" s="164"/>
      <c r="EM58" s="164"/>
      <c r="EN58" s="164"/>
      <c r="EO58" s="164"/>
      <c r="EP58" s="164"/>
      <c r="EQ58" s="164"/>
      <c r="ER58" s="164"/>
      <c r="ES58" s="164"/>
      <c r="ET58" s="164"/>
      <c r="EU58" s="164"/>
      <c r="EV58" s="164"/>
      <c r="EW58" s="164"/>
      <c r="EX58" s="164"/>
      <c r="EY58" s="164"/>
      <c r="EZ58" s="164"/>
      <c r="FA58" s="164"/>
      <c r="FB58" s="164"/>
      <c r="FC58" s="164"/>
      <c r="FD58" s="164"/>
      <c r="FE58" s="164"/>
      <c r="FF58" s="164"/>
      <c r="FG58" s="164"/>
      <c r="FH58" s="164"/>
      <c r="FI58" s="164"/>
      <c r="FJ58" s="164"/>
      <c r="FK58" s="164"/>
      <c r="FL58" s="164"/>
      <c r="FM58" s="164"/>
      <c r="FN58" s="164"/>
      <c r="FO58" s="164"/>
      <c r="FP58" s="164"/>
      <c r="FQ58" s="164"/>
      <c r="FR58" s="164"/>
      <c r="FS58" s="164"/>
      <c r="FT58" s="164"/>
      <c r="FU58" s="164"/>
      <c r="FV58" s="164"/>
      <c r="FW58" s="164"/>
      <c r="FX58" s="164"/>
      <c r="FY58" s="164"/>
      <c r="FZ58" s="164"/>
      <c r="GA58" s="164"/>
      <c r="GB58" s="164"/>
      <c r="GC58" s="164"/>
      <c r="GD58" s="164"/>
      <c r="GE58" s="164"/>
      <c r="GF58" s="164"/>
      <c r="GG58" s="164"/>
      <c r="GH58" s="164"/>
      <c r="GI58" s="164"/>
      <c r="GJ58" s="164"/>
      <c r="GK58" s="164"/>
      <c r="GL58" s="164"/>
      <c r="GM58" s="164"/>
      <c r="GN58" s="164"/>
      <c r="GO58" s="164"/>
      <c r="GP58" s="164"/>
      <c r="GQ58" s="164"/>
      <c r="GR58" s="164"/>
      <c r="GS58" s="164"/>
      <c r="GT58" s="164"/>
      <c r="GU58" s="164"/>
      <c r="GV58" s="164"/>
      <c r="GW58" s="164"/>
      <c r="GX58" s="164"/>
      <c r="GY58" s="164"/>
      <c r="GZ58" s="164"/>
      <c r="HA58" s="164"/>
      <c r="HB58" s="164"/>
      <c r="HC58" s="164"/>
      <c r="HD58" s="164"/>
      <c r="HE58" s="164"/>
      <c r="HF58" s="164"/>
      <c r="HG58" s="164"/>
      <c r="HH58" s="164"/>
      <c r="HI58" s="164"/>
      <c r="HJ58" s="164"/>
      <c r="HK58" s="164"/>
      <c r="HL58" s="164"/>
      <c r="HM58" s="164"/>
      <c r="HN58" s="164"/>
      <c r="HO58" s="164"/>
      <c r="HP58" s="164"/>
      <c r="HQ58" s="164"/>
      <c r="HR58" s="164"/>
      <c r="HS58" s="164"/>
      <c r="HT58" s="164"/>
      <c r="HU58" s="164"/>
      <c r="HV58" s="164"/>
      <c r="HW58" s="164"/>
      <c r="HX58" s="164"/>
      <c r="HY58" s="164"/>
      <c r="HZ58" s="164"/>
      <c r="IA58" s="164"/>
      <c r="IB58" s="164"/>
      <c r="IC58" s="164"/>
      <c r="ID58" s="164"/>
      <c r="IE58" s="164"/>
      <c r="IF58" s="164"/>
      <c r="IG58" s="164"/>
      <c r="IH58" s="164"/>
      <c r="II58" s="164"/>
      <c r="IJ58" s="164"/>
      <c r="IK58" s="164"/>
      <c r="IL58" s="164"/>
      <c r="IM58" s="164"/>
      <c r="IN58" s="164"/>
      <c r="IO58" s="164"/>
      <c r="IP58" s="164"/>
      <c r="IQ58" s="164"/>
      <c r="IR58" s="164"/>
      <c r="IS58" s="164"/>
      <c r="IT58" s="164"/>
      <c r="IU58" s="164"/>
      <c r="IV58" s="164"/>
      <c r="IW58" s="164"/>
      <c r="IX58" s="164"/>
      <c r="IY58" s="164"/>
      <c r="IZ58" s="164"/>
      <c r="JA58" s="164"/>
      <c r="JB58" s="164"/>
      <c r="JC58" s="164"/>
      <c r="JD58" s="164"/>
      <c r="JE58" s="164"/>
      <c r="JF58" s="164"/>
      <c r="JG58" s="164"/>
      <c r="JH58" s="164"/>
      <c r="JI58" s="164"/>
      <c r="JJ58" s="164"/>
      <c r="JK58" s="164"/>
      <c r="JL58" s="164"/>
      <c r="JM58" s="164"/>
      <c r="JN58" s="164"/>
      <c r="JO58" s="164"/>
      <c r="JP58" s="164"/>
      <c r="JQ58" s="164"/>
      <c r="JR58" s="164"/>
      <c r="JS58" s="164"/>
      <c r="JT58" s="164"/>
      <c r="JU58" s="164"/>
      <c r="JV58" s="164"/>
      <c r="JW58" s="164"/>
      <c r="JX58" s="164"/>
      <c r="JY58" s="164"/>
      <c r="JZ58" s="164"/>
      <c r="KA58" s="164"/>
      <c r="KB58" s="164"/>
      <c r="KC58" s="164"/>
      <c r="KD58" s="164"/>
      <c r="KE58" s="164"/>
      <c r="KF58" s="164"/>
      <c r="KG58" s="164"/>
      <c r="KH58" s="164"/>
      <c r="KI58" s="164"/>
      <c r="KJ58" s="164"/>
      <c r="KK58" s="164"/>
      <c r="KL58" s="164"/>
      <c r="KM58" s="164"/>
      <c r="KN58" s="164"/>
      <c r="KO58" s="164"/>
      <c r="KP58" s="164"/>
      <c r="KQ58" s="164"/>
      <c r="KR58" s="164"/>
      <c r="KS58" s="164"/>
      <c r="KT58" s="164"/>
      <c r="KU58" s="164"/>
      <c r="KV58" s="164"/>
      <c r="KW58" s="164"/>
      <c r="KX58" s="164"/>
      <c r="KY58" s="164"/>
      <c r="KZ58" s="164"/>
      <c r="LA58" s="164"/>
      <c r="LB58" s="164"/>
      <c r="LC58" s="164"/>
      <c r="LD58" s="164"/>
      <c r="LE58" s="164"/>
      <c r="LF58" s="164"/>
      <c r="LG58" s="164"/>
      <c r="LH58" s="164"/>
      <c r="LI58" s="164"/>
      <c r="LJ58" s="164"/>
      <c r="LK58" s="164"/>
      <c r="LL58" s="164"/>
      <c r="LM58" s="164"/>
      <c r="LN58" s="164"/>
      <c r="LO58" s="164"/>
      <c r="LP58" s="164"/>
      <c r="LQ58" s="164"/>
      <c r="LR58" s="164"/>
      <c r="LS58" s="164"/>
      <c r="LT58" s="164"/>
      <c r="LU58" s="164"/>
      <c r="LV58" s="164"/>
      <c r="LW58" s="164"/>
      <c r="LX58" s="164"/>
      <c r="LY58" s="164"/>
      <c r="LZ58" s="164"/>
      <c r="MA58" s="164"/>
      <c r="MB58" s="164"/>
      <c r="MC58" s="164"/>
      <c r="MD58" s="164"/>
      <c r="ME58" s="164"/>
      <c r="MF58" s="164"/>
      <c r="MG58" s="164"/>
      <c r="MH58" s="164"/>
    </row>
    <row r="59" spans="1:346" s="165" customFormat="1" ht="16" x14ac:dyDescent="0.2">
      <c r="A59" s="166"/>
      <c r="B59" s="167"/>
      <c r="C59" s="166"/>
      <c r="D59" s="166"/>
      <c r="E59" s="166"/>
      <c r="F59" s="166"/>
      <c r="G59" s="166"/>
      <c r="H59" s="166"/>
      <c r="I59" s="166"/>
      <c r="J59" s="166"/>
      <c r="K59" s="166"/>
      <c r="L59" s="166"/>
      <c r="M59" s="166"/>
      <c r="N59" s="166"/>
      <c r="O59" s="166"/>
      <c r="P59" s="166"/>
      <c r="Q59" s="166"/>
      <c r="R59" s="164"/>
      <c r="S59" s="164"/>
      <c r="T59" s="164"/>
      <c r="U59" s="164"/>
      <c r="V59" s="164"/>
      <c r="W59" s="164"/>
      <c r="X59" s="164"/>
      <c r="Y59" s="164"/>
      <c r="Z59" s="164"/>
      <c r="AA59" s="164"/>
      <c r="AB59" s="164"/>
      <c r="AC59" s="164"/>
      <c r="AD59" s="164"/>
      <c r="AE59" s="164"/>
      <c r="AF59" s="164"/>
      <c r="AG59" s="164"/>
      <c r="AH59" s="164"/>
      <c r="AI59" s="164"/>
      <c r="AJ59" s="164"/>
      <c r="AK59" s="164"/>
      <c r="AL59" s="164"/>
      <c r="AM59" s="164"/>
      <c r="AN59" s="164"/>
      <c r="AO59" s="164"/>
      <c r="AP59" s="164"/>
      <c r="AQ59" s="164"/>
      <c r="AR59" s="164"/>
      <c r="AS59" s="164"/>
      <c r="AT59" s="164"/>
      <c r="AU59" s="164"/>
      <c r="AV59" s="164"/>
      <c r="AW59" s="164"/>
      <c r="AX59" s="164"/>
      <c r="AY59" s="164"/>
      <c r="AZ59" s="164"/>
      <c r="BA59" s="164"/>
      <c r="BB59" s="164"/>
      <c r="BC59" s="164"/>
      <c r="BD59" s="164"/>
      <c r="BE59" s="164"/>
      <c r="BF59" s="164"/>
      <c r="BG59" s="164"/>
      <c r="BH59" s="164"/>
      <c r="BI59" s="164"/>
      <c r="BJ59" s="164"/>
      <c r="BK59" s="164"/>
      <c r="BL59" s="164"/>
      <c r="BM59" s="164"/>
      <c r="BN59" s="164"/>
      <c r="BO59" s="164"/>
      <c r="BP59" s="164"/>
      <c r="BQ59" s="164"/>
      <c r="BR59" s="164"/>
      <c r="BS59" s="164"/>
      <c r="BT59" s="164"/>
      <c r="BU59" s="164"/>
      <c r="BV59" s="164"/>
      <c r="BW59" s="164"/>
      <c r="BX59" s="164"/>
      <c r="BY59" s="164"/>
      <c r="BZ59" s="164"/>
      <c r="CA59" s="164"/>
      <c r="CB59" s="164"/>
      <c r="CC59" s="164"/>
      <c r="CD59" s="164"/>
      <c r="CE59" s="164"/>
      <c r="CF59" s="164"/>
      <c r="CG59" s="164"/>
      <c r="CH59" s="164"/>
      <c r="CI59" s="164"/>
      <c r="CJ59" s="164"/>
      <c r="CK59" s="164"/>
      <c r="CL59" s="164"/>
      <c r="CM59" s="164"/>
      <c r="CN59" s="164"/>
      <c r="CO59" s="164"/>
      <c r="CP59" s="164"/>
      <c r="CQ59" s="164"/>
      <c r="CR59" s="164"/>
      <c r="CS59" s="164"/>
      <c r="CT59" s="164"/>
      <c r="CU59" s="164"/>
      <c r="CV59" s="164"/>
      <c r="CW59" s="164"/>
      <c r="CX59" s="164"/>
      <c r="CY59" s="164"/>
      <c r="CZ59" s="164"/>
      <c r="DA59" s="164"/>
      <c r="DB59" s="164"/>
      <c r="DC59" s="164"/>
      <c r="DD59" s="164"/>
      <c r="DE59" s="164"/>
      <c r="DF59" s="164"/>
      <c r="DG59" s="164"/>
      <c r="DH59" s="164"/>
      <c r="DI59" s="164"/>
      <c r="DJ59" s="164"/>
      <c r="DK59" s="164"/>
      <c r="DL59" s="164"/>
      <c r="DM59" s="164"/>
      <c r="DN59" s="164"/>
      <c r="DO59" s="164"/>
      <c r="DP59" s="164"/>
      <c r="DQ59" s="164"/>
      <c r="DR59" s="164"/>
      <c r="DS59" s="164"/>
      <c r="DT59" s="164"/>
      <c r="DU59" s="164"/>
      <c r="DV59" s="164"/>
      <c r="DW59" s="164"/>
      <c r="DX59" s="164"/>
      <c r="DY59" s="164"/>
      <c r="DZ59" s="164"/>
      <c r="EA59" s="164"/>
      <c r="EB59" s="164"/>
      <c r="EC59" s="164"/>
      <c r="ED59" s="164"/>
      <c r="EE59" s="164"/>
      <c r="EF59" s="164"/>
      <c r="EG59" s="164"/>
      <c r="EH59" s="164"/>
      <c r="EI59" s="164"/>
      <c r="EJ59" s="164"/>
      <c r="EK59" s="164"/>
      <c r="EL59" s="164"/>
      <c r="EM59" s="164"/>
      <c r="EN59" s="164"/>
      <c r="EO59" s="164"/>
      <c r="EP59" s="164"/>
      <c r="EQ59" s="164"/>
      <c r="ER59" s="164"/>
      <c r="ES59" s="164"/>
      <c r="ET59" s="164"/>
      <c r="EU59" s="164"/>
      <c r="EV59" s="164"/>
      <c r="EW59" s="164"/>
      <c r="EX59" s="164"/>
      <c r="EY59" s="164"/>
      <c r="EZ59" s="164"/>
      <c r="FA59" s="164"/>
      <c r="FB59" s="164"/>
      <c r="FC59" s="164"/>
      <c r="FD59" s="164"/>
      <c r="FE59" s="164"/>
      <c r="FF59" s="164"/>
      <c r="FG59" s="164"/>
      <c r="FH59" s="164"/>
      <c r="FI59" s="164"/>
      <c r="FJ59" s="164"/>
      <c r="FK59" s="164"/>
      <c r="FL59" s="164"/>
      <c r="FM59" s="164"/>
      <c r="FN59" s="164"/>
      <c r="FO59" s="164"/>
      <c r="FP59" s="164"/>
      <c r="FQ59" s="164"/>
      <c r="FR59" s="164"/>
      <c r="FS59" s="164"/>
      <c r="FT59" s="164"/>
      <c r="FU59" s="164"/>
      <c r="FV59" s="164"/>
      <c r="FW59" s="164"/>
      <c r="FX59" s="164"/>
      <c r="FY59" s="164"/>
      <c r="FZ59" s="164"/>
      <c r="GA59" s="164"/>
      <c r="GB59" s="164"/>
      <c r="GC59" s="164"/>
      <c r="GD59" s="164"/>
      <c r="GE59" s="164"/>
      <c r="GF59" s="164"/>
      <c r="GG59" s="164"/>
      <c r="GH59" s="164"/>
      <c r="GI59" s="164"/>
      <c r="GJ59" s="164"/>
      <c r="GK59" s="164"/>
      <c r="GL59" s="164"/>
      <c r="GM59" s="164"/>
      <c r="GN59" s="164"/>
      <c r="GO59" s="164"/>
      <c r="GP59" s="164"/>
      <c r="GQ59" s="164"/>
      <c r="GR59" s="164"/>
      <c r="GS59" s="164"/>
      <c r="GT59" s="164"/>
      <c r="GU59" s="164"/>
      <c r="GV59" s="164"/>
      <c r="GW59" s="164"/>
      <c r="GX59" s="164"/>
      <c r="GY59" s="164"/>
      <c r="GZ59" s="164"/>
      <c r="HA59" s="164"/>
      <c r="HB59" s="164"/>
      <c r="HC59" s="164"/>
      <c r="HD59" s="164"/>
      <c r="HE59" s="164"/>
      <c r="HF59" s="164"/>
      <c r="HG59" s="164"/>
      <c r="HH59" s="164"/>
      <c r="HI59" s="164"/>
      <c r="HJ59" s="164"/>
      <c r="HK59" s="164"/>
      <c r="HL59" s="164"/>
      <c r="HM59" s="164"/>
      <c r="HN59" s="164"/>
      <c r="HO59" s="164"/>
      <c r="HP59" s="164"/>
      <c r="HQ59" s="164"/>
      <c r="HR59" s="164"/>
      <c r="HS59" s="164"/>
      <c r="HT59" s="164"/>
      <c r="HU59" s="164"/>
      <c r="HV59" s="164"/>
      <c r="HW59" s="164"/>
      <c r="HX59" s="164"/>
      <c r="HY59" s="164"/>
      <c r="HZ59" s="164"/>
      <c r="IA59" s="164"/>
      <c r="IB59" s="164"/>
      <c r="IC59" s="164"/>
      <c r="ID59" s="164"/>
      <c r="IE59" s="164"/>
      <c r="IF59" s="164"/>
      <c r="IG59" s="164"/>
      <c r="IH59" s="164"/>
      <c r="II59" s="164"/>
      <c r="IJ59" s="164"/>
      <c r="IK59" s="164"/>
      <c r="IL59" s="164"/>
      <c r="IM59" s="164"/>
      <c r="IN59" s="164"/>
      <c r="IO59" s="164"/>
      <c r="IP59" s="164"/>
      <c r="IQ59" s="164"/>
      <c r="IR59" s="164"/>
      <c r="IS59" s="164"/>
      <c r="IT59" s="164"/>
      <c r="IU59" s="164"/>
      <c r="IV59" s="164"/>
      <c r="IW59" s="164"/>
      <c r="IX59" s="164"/>
      <c r="IY59" s="164"/>
      <c r="IZ59" s="164"/>
      <c r="JA59" s="164"/>
      <c r="JB59" s="164"/>
      <c r="JC59" s="164"/>
      <c r="JD59" s="164"/>
      <c r="JE59" s="164"/>
      <c r="JF59" s="164"/>
      <c r="JG59" s="164"/>
      <c r="JH59" s="164"/>
      <c r="JI59" s="164"/>
      <c r="JJ59" s="164"/>
      <c r="JK59" s="164"/>
      <c r="JL59" s="164"/>
      <c r="JM59" s="164"/>
      <c r="JN59" s="164"/>
      <c r="JO59" s="164"/>
      <c r="JP59" s="164"/>
      <c r="JQ59" s="164"/>
      <c r="JR59" s="164"/>
      <c r="JS59" s="164"/>
      <c r="JT59" s="164"/>
      <c r="JU59" s="164"/>
      <c r="JV59" s="164"/>
      <c r="JW59" s="164"/>
      <c r="JX59" s="164"/>
      <c r="JY59" s="164"/>
      <c r="JZ59" s="164"/>
      <c r="KA59" s="164"/>
      <c r="KB59" s="164"/>
      <c r="KC59" s="164"/>
      <c r="KD59" s="164"/>
      <c r="KE59" s="164"/>
      <c r="KF59" s="164"/>
      <c r="KG59" s="164"/>
      <c r="KH59" s="164"/>
      <c r="KI59" s="164"/>
      <c r="KJ59" s="164"/>
      <c r="KK59" s="164"/>
      <c r="KL59" s="164"/>
      <c r="KM59" s="164"/>
      <c r="KN59" s="164"/>
      <c r="KO59" s="164"/>
      <c r="KP59" s="164"/>
      <c r="KQ59" s="164"/>
      <c r="KR59" s="164"/>
      <c r="KS59" s="164"/>
      <c r="KT59" s="164"/>
      <c r="KU59" s="164"/>
      <c r="KV59" s="164"/>
      <c r="KW59" s="164"/>
      <c r="KX59" s="164"/>
      <c r="KY59" s="164"/>
      <c r="KZ59" s="164"/>
      <c r="LA59" s="164"/>
      <c r="LB59" s="164"/>
      <c r="LC59" s="164"/>
      <c r="LD59" s="164"/>
      <c r="LE59" s="164"/>
      <c r="LF59" s="164"/>
      <c r="LG59" s="164"/>
      <c r="LH59" s="164"/>
      <c r="LI59" s="164"/>
      <c r="LJ59" s="164"/>
      <c r="LK59" s="164"/>
      <c r="LL59" s="164"/>
      <c r="LM59" s="164"/>
      <c r="LN59" s="164"/>
      <c r="LO59" s="164"/>
      <c r="LP59" s="164"/>
      <c r="LQ59" s="164"/>
      <c r="LR59" s="164"/>
      <c r="LS59" s="164"/>
      <c r="LT59" s="164"/>
      <c r="LU59" s="164"/>
      <c r="LV59" s="164"/>
      <c r="LW59" s="164"/>
      <c r="LX59" s="164"/>
      <c r="LY59" s="164"/>
      <c r="LZ59" s="164"/>
      <c r="MA59" s="164"/>
      <c r="MB59" s="164"/>
      <c r="MC59" s="164"/>
      <c r="MD59" s="164"/>
      <c r="ME59" s="164"/>
      <c r="MF59" s="164"/>
      <c r="MG59" s="164"/>
      <c r="MH59" s="164"/>
    </row>
    <row r="60" spans="1:346" s="165" customFormat="1" ht="16" x14ac:dyDescent="0.2">
      <c r="A60" s="166"/>
      <c r="B60" s="167"/>
      <c r="C60" s="166"/>
      <c r="D60" s="166"/>
      <c r="E60" s="166"/>
      <c r="F60" s="166"/>
      <c r="G60" s="166"/>
      <c r="H60" s="166"/>
      <c r="I60" s="166"/>
      <c r="J60" s="166"/>
      <c r="K60" s="166"/>
      <c r="L60" s="166"/>
      <c r="M60" s="166"/>
      <c r="N60" s="166"/>
      <c r="O60" s="166"/>
      <c r="P60" s="166"/>
      <c r="Q60" s="166"/>
      <c r="R60" s="164"/>
      <c r="S60" s="164"/>
      <c r="T60" s="164"/>
      <c r="U60" s="164"/>
      <c r="V60" s="164"/>
      <c r="W60" s="164"/>
      <c r="X60" s="164"/>
      <c r="Y60" s="164"/>
      <c r="Z60" s="164"/>
      <c r="AA60" s="164"/>
      <c r="AB60" s="164"/>
      <c r="AC60" s="164"/>
      <c r="AD60" s="164"/>
      <c r="AE60" s="164"/>
      <c r="AF60" s="164"/>
      <c r="AG60" s="164"/>
      <c r="AH60" s="164"/>
      <c r="AI60" s="164"/>
      <c r="AJ60" s="164"/>
      <c r="AK60" s="164"/>
      <c r="AL60" s="164"/>
      <c r="AM60" s="164"/>
      <c r="AN60" s="164"/>
      <c r="AO60" s="164"/>
      <c r="AP60" s="164"/>
      <c r="AQ60" s="164"/>
      <c r="AR60" s="164"/>
      <c r="AS60" s="164"/>
      <c r="AT60" s="164"/>
      <c r="AU60" s="164"/>
      <c r="AV60" s="164"/>
      <c r="AW60" s="164"/>
      <c r="AX60" s="164"/>
      <c r="AY60" s="164"/>
      <c r="AZ60" s="164"/>
      <c r="BA60" s="164"/>
      <c r="BB60" s="164"/>
      <c r="BC60" s="164"/>
      <c r="BD60" s="164"/>
      <c r="BE60" s="164"/>
      <c r="BF60" s="164"/>
      <c r="BG60" s="164"/>
      <c r="BH60" s="164"/>
      <c r="BI60" s="164"/>
      <c r="BJ60" s="164"/>
      <c r="BK60" s="164"/>
      <c r="BL60" s="164"/>
      <c r="BM60" s="164"/>
      <c r="BN60" s="164"/>
      <c r="BO60" s="164"/>
      <c r="BP60" s="164"/>
      <c r="BQ60" s="164"/>
      <c r="BR60" s="164"/>
      <c r="BS60" s="164"/>
      <c r="BT60" s="164"/>
      <c r="BU60" s="164"/>
      <c r="BV60" s="164"/>
      <c r="BW60" s="164"/>
      <c r="BX60" s="164"/>
      <c r="BY60" s="164"/>
      <c r="BZ60" s="164"/>
      <c r="CA60" s="164"/>
      <c r="CB60" s="164"/>
      <c r="CC60" s="164"/>
      <c r="CD60" s="164"/>
      <c r="CE60" s="164"/>
      <c r="CF60" s="164"/>
      <c r="CG60" s="164"/>
      <c r="CH60" s="164"/>
      <c r="CI60" s="164"/>
      <c r="CJ60" s="164"/>
      <c r="CK60" s="164"/>
      <c r="CL60" s="164"/>
      <c r="CM60" s="164"/>
      <c r="CN60" s="164"/>
      <c r="CO60" s="164"/>
      <c r="CP60" s="164"/>
      <c r="CQ60" s="164"/>
      <c r="CR60" s="164"/>
      <c r="CS60" s="164"/>
      <c r="CT60" s="164"/>
      <c r="CU60" s="164"/>
      <c r="CV60" s="164"/>
      <c r="CW60" s="164"/>
      <c r="CX60" s="164"/>
      <c r="CY60" s="164"/>
      <c r="CZ60" s="164"/>
      <c r="DA60" s="164"/>
      <c r="DB60" s="164"/>
      <c r="DC60" s="164"/>
      <c r="DD60" s="164"/>
      <c r="DE60" s="164"/>
      <c r="DF60" s="164"/>
      <c r="DG60" s="164"/>
      <c r="DH60" s="164"/>
      <c r="DI60" s="164"/>
      <c r="DJ60" s="164"/>
      <c r="DK60" s="164"/>
      <c r="DL60" s="164"/>
      <c r="DM60" s="164"/>
      <c r="DN60" s="164"/>
      <c r="DO60" s="164"/>
      <c r="DP60" s="164"/>
      <c r="DQ60" s="164"/>
      <c r="DR60" s="164"/>
      <c r="DS60" s="164"/>
      <c r="DT60" s="164"/>
      <c r="DU60" s="164"/>
      <c r="DV60" s="164"/>
      <c r="DW60" s="164"/>
      <c r="DX60" s="164"/>
      <c r="DY60" s="164"/>
      <c r="DZ60" s="164"/>
      <c r="EA60" s="164"/>
      <c r="EB60" s="164"/>
      <c r="EC60" s="164"/>
      <c r="ED60" s="164"/>
      <c r="EE60" s="164"/>
      <c r="EF60" s="164"/>
      <c r="EG60" s="164"/>
      <c r="EH60" s="164"/>
      <c r="EI60" s="164"/>
      <c r="EJ60" s="164"/>
      <c r="EK60" s="164"/>
      <c r="EL60" s="164"/>
      <c r="EM60" s="164"/>
      <c r="EN60" s="164"/>
      <c r="EO60" s="164"/>
      <c r="EP60" s="164"/>
      <c r="EQ60" s="164"/>
      <c r="ER60" s="164"/>
      <c r="ES60" s="164"/>
      <c r="ET60" s="164"/>
      <c r="EU60" s="164"/>
      <c r="EV60" s="164"/>
      <c r="EW60" s="164"/>
      <c r="EX60" s="164"/>
      <c r="EY60" s="164"/>
      <c r="EZ60" s="164"/>
      <c r="FA60" s="164"/>
      <c r="FB60" s="164"/>
      <c r="FC60" s="164"/>
      <c r="FD60" s="164"/>
      <c r="FE60" s="164"/>
      <c r="FF60" s="164"/>
      <c r="FG60" s="164"/>
      <c r="FH60" s="164"/>
      <c r="FI60" s="164"/>
      <c r="FJ60" s="164"/>
      <c r="FK60" s="164"/>
      <c r="FL60" s="164"/>
      <c r="FM60" s="164"/>
      <c r="FN60" s="164"/>
      <c r="FO60" s="164"/>
      <c r="FP60" s="164"/>
      <c r="FQ60" s="164"/>
      <c r="FR60" s="164"/>
      <c r="FS60" s="164"/>
      <c r="FT60" s="164"/>
      <c r="FU60" s="164"/>
      <c r="FV60" s="164"/>
      <c r="FW60" s="164"/>
      <c r="FX60" s="164"/>
      <c r="FY60" s="164"/>
      <c r="FZ60" s="164"/>
      <c r="GA60" s="164"/>
      <c r="GB60" s="164"/>
      <c r="GC60" s="164"/>
      <c r="GD60" s="164"/>
      <c r="GE60" s="164"/>
      <c r="GF60" s="164"/>
      <c r="GG60" s="164"/>
      <c r="GH60" s="164"/>
      <c r="GI60" s="164"/>
      <c r="GJ60" s="164"/>
      <c r="GK60" s="164"/>
      <c r="GL60" s="164"/>
      <c r="GM60" s="164"/>
      <c r="GN60" s="164"/>
      <c r="GO60" s="164"/>
      <c r="GP60" s="164"/>
      <c r="GQ60" s="164"/>
      <c r="GR60" s="164"/>
      <c r="GS60" s="164"/>
      <c r="GT60" s="164"/>
      <c r="GU60" s="164"/>
      <c r="GV60" s="164"/>
      <c r="GW60" s="164"/>
      <c r="GX60" s="164"/>
      <c r="GY60" s="164"/>
      <c r="GZ60" s="164"/>
      <c r="HA60" s="164"/>
      <c r="HB60" s="164"/>
      <c r="HC60" s="164"/>
      <c r="HD60" s="164"/>
      <c r="HE60" s="164"/>
      <c r="HF60" s="164"/>
      <c r="HG60" s="164"/>
      <c r="HH60" s="164"/>
      <c r="HI60" s="164"/>
      <c r="HJ60" s="164"/>
      <c r="HK60" s="164"/>
      <c r="HL60" s="164"/>
      <c r="HM60" s="164"/>
      <c r="HN60" s="164"/>
      <c r="HO60" s="164"/>
      <c r="HP60" s="164"/>
      <c r="HQ60" s="164"/>
      <c r="HR60" s="164"/>
      <c r="HS60" s="164"/>
      <c r="HT60" s="164"/>
      <c r="HU60" s="164"/>
      <c r="HV60" s="164"/>
      <c r="HW60" s="164"/>
      <c r="HX60" s="164"/>
      <c r="HY60" s="164"/>
      <c r="HZ60" s="164"/>
      <c r="IA60" s="164"/>
      <c r="IB60" s="164"/>
      <c r="IC60" s="164"/>
      <c r="ID60" s="164"/>
      <c r="IE60" s="164"/>
      <c r="IF60" s="164"/>
      <c r="IG60" s="164"/>
      <c r="IH60" s="164"/>
      <c r="II60" s="164"/>
      <c r="IJ60" s="164"/>
      <c r="IK60" s="164"/>
      <c r="IL60" s="164"/>
      <c r="IM60" s="164"/>
      <c r="IN60" s="164"/>
      <c r="IO60" s="164"/>
      <c r="IP60" s="164"/>
      <c r="IQ60" s="164"/>
      <c r="IR60" s="164"/>
      <c r="IS60" s="164"/>
      <c r="IT60" s="164"/>
      <c r="IU60" s="164"/>
      <c r="IV60" s="164"/>
      <c r="IW60" s="164"/>
      <c r="IX60" s="164"/>
      <c r="IY60" s="164"/>
      <c r="IZ60" s="164"/>
      <c r="JA60" s="164"/>
      <c r="JB60" s="164"/>
      <c r="JC60" s="164"/>
      <c r="JD60" s="164"/>
      <c r="JE60" s="164"/>
      <c r="JF60" s="164"/>
      <c r="JG60" s="164"/>
      <c r="JH60" s="164"/>
      <c r="JI60" s="164"/>
      <c r="JJ60" s="164"/>
      <c r="JK60" s="164"/>
      <c r="JL60" s="164"/>
      <c r="JM60" s="164"/>
      <c r="JN60" s="164"/>
      <c r="JO60" s="164"/>
      <c r="JP60" s="164"/>
      <c r="JQ60" s="164"/>
      <c r="JR60" s="164"/>
      <c r="JS60" s="164"/>
      <c r="JT60" s="164"/>
      <c r="JU60" s="164"/>
      <c r="JV60" s="164"/>
      <c r="JW60" s="164"/>
      <c r="JX60" s="164"/>
      <c r="JY60" s="164"/>
      <c r="JZ60" s="164"/>
      <c r="KA60" s="164"/>
      <c r="KB60" s="164"/>
      <c r="KC60" s="164"/>
      <c r="KD60" s="164"/>
      <c r="KE60" s="164"/>
      <c r="KF60" s="164"/>
      <c r="KG60" s="164"/>
      <c r="KH60" s="164"/>
      <c r="KI60" s="164"/>
      <c r="KJ60" s="164"/>
      <c r="KK60" s="164"/>
      <c r="KL60" s="164"/>
      <c r="KM60" s="164"/>
      <c r="KN60" s="164"/>
      <c r="KO60" s="164"/>
      <c r="KP60" s="164"/>
      <c r="KQ60" s="164"/>
      <c r="KR60" s="164"/>
      <c r="KS60" s="164"/>
      <c r="KT60" s="164"/>
      <c r="KU60" s="164"/>
      <c r="KV60" s="164"/>
      <c r="KW60" s="164"/>
      <c r="KX60" s="164"/>
      <c r="KY60" s="164"/>
      <c r="KZ60" s="164"/>
      <c r="LA60" s="164"/>
      <c r="LB60" s="164"/>
      <c r="LC60" s="164"/>
      <c r="LD60" s="164"/>
      <c r="LE60" s="164"/>
      <c r="LF60" s="164"/>
      <c r="LG60" s="164"/>
      <c r="LH60" s="164"/>
      <c r="LI60" s="164"/>
      <c r="LJ60" s="164"/>
      <c r="LK60" s="164"/>
      <c r="LL60" s="164"/>
      <c r="LM60" s="164"/>
      <c r="LN60" s="164"/>
      <c r="LO60" s="164"/>
      <c r="LP60" s="164"/>
      <c r="LQ60" s="164"/>
      <c r="LR60" s="164"/>
      <c r="LS60" s="164"/>
      <c r="LT60" s="164"/>
      <c r="LU60" s="164"/>
      <c r="LV60" s="164"/>
      <c r="LW60" s="164"/>
      <c r="LX60" s="164"/>
      <c r="LY60" s="164"/>
      <c r="LZ60" s="164"/>
      <c r="MA60" s="164"/>
      <c r="MB60" s="164"/>
      <c r="MC60" s="164"/>
      <c r="MD60" s="164"/>
      <c r="ME60" s="164"/>
      <c r="MF60" s="164"/>
      <c r="MG60" s="164"/>
      <c r="MH60" s="164"/>
    </row>
    <row r="61" spans="1:346" s="165" customFormat="1" ht="16" x14ac:dyDescent="0.2">
      <c r="A61" s="166"/>
      <c r="B61" s="167"/>
      <c r="C61" s="166"/>
      <c r="D61" s="166"/>
      <c r="E61" s="166"/>
      <c r="F61" s="166"/>
      <c r="G61" s="166"/>
      <c r="H61" s="166"/>
      <c r="I61" s="166"/>
      <c r="J61" s="166"/>
      <c r="K61" s="166"/>
      <c r="L61" s="166"/>
      <c r="M61" s="166"/>
      <c r="N61" s="166"/>
      <c r="O61" s="166"/>
      <c r="P61" s="166"/>
      <c r="Q61" s="166"/>
      <c r="R61" s="164"/>
      <c r="S61" s="164"/>
      <c r="T61" s="164"/>
      <c r="U61" s="164"/>
      <c r="V61" s="164"/>
      <c r="W61" s="164"/>
      <c r="X61" s="164"/>
      <c r="Y61" s="164"/>
      <c r="Z61" s="164"/>
      <c r="AA61" s="164"/>
      <c r="AB61" s="164"/>
      <c r="AC61" s="164"/>
      <c r="AD61" s="164"/>
      <c r="AE61" s="164"/>
      <c r="AF61" s="164"/>
      <c r="AG61" s="164"/>
      <c r="AH61" s="164"/>
      <c r="AI61" s="164"/>
      <c r="AJ61" s="164"/>
      <c r="AK61" s="164"/>
      <c r="AL61" s="164"/>
      <c r="AM61" s="164"/>
      <c r="AN61" s="164"/>
      <c r="AO61" s="164"/>
      <c r="AP61" s="164"/>
      <c r="AQ61" s="164"/>
      <c r="AR61" s="164"/>
      <c r="AS61" s="164"/>
      <c r="AT61" s="164"/>
      <c r="AU61" s="164"/>
      <c r="AV61" s="164"/>
      <c r="AW61" s="164"/>
      <c r="AX61" s="164"/>
      <c r="AY61" s="164"/>
      <c r="AZ61" s="164"/>
      <c r="BA61" s="164"/>
      <c r="BB61" s="164"/>
      <c r="BC61" s="164"/>
      <c r="BD61" s="164"/>
      <c r="BE61" s="164"/>
      <c r="BF61" s="164"/>
      <c r="BG61" s="164"/>
      <c r="BH61" s="164"/>
      <c r="BI61" s="164"/>
      <c r="BJ61" s="164"/>
      <c r="BK61" s="164"/>
      <c r="BL61" s="164"/>
      <c r="BM61" s="164"/>
      <c r="BN61" s="164"/>
      <c r="BO61" s="164"/>
      <c r="BP61" s="164"/>
      <c r="BQ61" s="164"/>
      <c r="BR61" s="164"/>
      <c r="BS61" s="164"/>
      <c r="BT61" s="164"/>
      <c r="BU61" s="164"/>
      <c r="BV61" s="164"/>
      <c r="BW61" s="164"/>
      <c r="BX61" s="164"/>
      <c r="BY61" s="164"/>
      <c r="BZ61" s="164"/>
      <c r="CA61" s="164"/>
      <c r="CB61" s="164"/>
      <c r="CC61" s="164"/>
      <c r="CD61" s="164"/>
      <c r="CE61" s="164"/>
      <c r="CF61" s="164"/>
      <c r="CG61" s="164"/>
      <c r="CH61" s="164"/>
      <c r="CI61" s="164"/>
      <c r="CJ61" s="164"/>
      <c r="CK61" s="164"/>
      <c r="CL61" s="164"/>
      <c r="CM61" s="164"/>
      <c r="CN61" s="164"/>
      <c r="CO61" s="164"/>
      <c r="CP61" s="164"/>
      <c r="CQ61" s="164"/>
      <c r="CR61" s="164"/>
      <c r="CS61" s="164"/>
      <c r="CT61" s="164"/>
      <c r="CU61" s="164"/>
      <c r="CV61" s="164"/>
      <c r="CW61" s="164"/>
      <c r="CX61" s="164"/>
      <c r="CY61" s="164"/>
      <c r="CZ61" s="164"/>
      <c r="DA61" s="164"/>
      <c r="DB61" s="164"/>
      <c r="DC61" s="164"/>
      <c r="DD61" s="164"/>
      <c r="DE61" s="164"/>
      <c r="DF61" s="164"/>
      <c r="DG61" s="164"/>
      <c r="DH61" s="164"/>
      <c r="DI61" s="164"/>
      <c r="DJ61" s="164"/>
      <c r="DK61" s="164"/>
      <c r="DL61" s="164"/>
      <c r="DM61" s="164"/>
      <c r="DN61" s="164"/>
      <c r="DO61" s="164"/>
      <c r="DP61" s="164"/>
      <c r="DQ61" s="164"/>
      <c r="DR61" s="164"/>
      <c r="DS61" s="164"/>
      <c r="DT61" s="164"/>
      <c r="DU61" s="164"/>
      <c r="DV61" s="164"/>
      <c r="DW61" s="164"/>
      <c r="DX61" s="164"/>
      <c r="DY61" s="164"/>
      <c r="DZ61" s="164"/>
      <c r="EA61" s="164"/>
      <c r="EB61" s="164"/>
      <c r="EC61" s="164"/>
      <c r="ED61" s="164"/>
      <c r="EE61" s="164"/>
      <c r="EF61" s="164"/>
      <c r="EG61" s="164"/>
      <c r="EH61" s="164"/>
      <c r="EI61" s="164"/>
      <c r="EJ61" s="164"/>
      <c r="EK61" s="164"/>
      <c r="EL61" s="164"/>
      <c r="EM61" s="164"/>
      <c r="EN61" s="164"/>
      <c r="EO61" s="164"/>
      <c r="EP61" s="164"/>
      <c r="EQ61" s="164"/>
      <c r="ER61" s="164"/>
      <c r="ES61" s="164"/>
      <c r="ET61" s="164"/>
      <c r="EU61" s="164"/>
      <c r="EV61" s="164"/>
      <c r="EW61" s="164"/>
      <c r="EX61" s="164"/>
      <c r="EY61" s="164"/>
      <c r="EZ61" s="164"/>
      <c r="FA61" s="164"/>
      <c r="FB61" s="164"/>
      <c r="FC61" s="164"/>
      <c r="FD61" s="164"/>
      <c r="FE61" s="164"/>
      <c r="FF61" s="164"/>
      <c r="FG61" s="164"/>
      <c r="FH61" s="164"/>
      <c r="FI61" s="164"/>
      <c r="FJ61" s="164"/>
      <c r="FK61" s="164"/>
      <c r="FL61" s="164"/>
      <c r="FM61" s="164"/>
      <c r="FN61" s="164"/>
      <c r="FO61" s="164"/>
      <c r="FP61" s="164"/>
      <c r="FQ61" s="164"/>
      <c r="FR61" s="164"/>
      <c r="FS61" s="164"/>
      <c r="FT61" s="164"/>
      <c r="FU61" s="164"/>
      <c r="FV61" s="164"/>
      <c r="FW61" s="164"/>
      <c r="FX61" s="164"/>
      <c r="FY61" s="164"/>
      <c r="FZ61" s="164"/>
      <c r="GA61" s="164"/>
      <c r="GB61" s="164"/>
      <c r="GC61" s="164"/>
      <c r="GD61" s="164"/>
      <c r="GE61" s="164"/>
      <c r="GF61" s="164"/>
      <c r="GG61" s="164"/>
      <c r="GH61" s="164"/>
      <c r="GI61" s="164"/>
      <c r="GJ61" s="164"/>
      <c r="GK61" s="164"/>
      <c r="GL61" s="164"/>
      <c r="GM61" s="164"/>
      <c r="GN61" s="164"/>
      <c r="GO61" s="164"/>
      <c r="GP61" s="164"/>
      <c r="GQ61" s="164"/>
      <c r="GR61" s="164"/>
      <c r="GS61" s="164"/>
      <c r="GT61" s="164"/>
      <c r="GU61" s="164"/>
      <c r="GV61" s="164"/>
      <c r="GW61" s="164"/>
      <c r="GX61" s="164"/>
      <c r="GY61" s="164"/>
      <c r="GZ61" s="164"/>
      <c r="HA61" s="164"/>
      <c r="HB61" s="164"/>
      <c r="HC61" s="164"/>
      <c r="HD61" s="164"/>
      <c r="HE61" s="164"/>
      <c r="HF61" s="164"/>
      <c r="HG61" s="164"/>
      <c r="HH61" s="164"/>
      <c r="HI61" s="164"/>
      <c r="HJ61" s="164"/>
      <c r="HK61" s="164"/>
      <c r="HL61" s="164"/>
      <c r="HM61" s="164"/>
      <c r="HN61" s="164"/>
      <c r="HO61" s="164"/>
      <c r="HP61" s="164"/>
      <c r="HQ61" s="164"/>
      <c r="HR61" s="164"/>
      <c r="HS61" s="164"/>
      <c r="HT61" s="164"/>
      <c r="HU61" s="164"/>
      <c r="HV61" s="164"/>
      <c r="HW61" s="164"/>
      <c r="HX61" s="164"/>
      <c r="HY61" s="164"/>
      <c r="HZ61" s="164"/>
      <c r="IA61" s="164"/>
      <c r="IB61" s="164"/>
      <c r="IC61" s="164"/>
      <c r="ID61" s="164"/>
      <c r="IE61" s="164"/>
      <c r="IF61" s="164"/>
      <c r="IG61" s="164"/>
      <c r="IH61" s="164"/>
      <c r="II61" s="164"/>
      <c r="IJ61" s="164"/>
      <c r="IK61" s="164"/>
      <c r="IL61" s="164"/>
      <c r="IM61" s="164"/>
      <c r="IN61" s="164"/>
      <c r="IO61" s="164"/>
      <c r="IP61" s="164"/>
      <c r="IQ61" s="164"/>
      <c r="IR61" s="164"/>
      <c r="IS61" s="164"/>
      <c r="IT61" s="164"/>
      <c r="IU61" s="164"/>
      <c r="IV61" s="164"/>
      <c r="IW61" s="164"/>
      <c r="IX61" s="164"/>
      <c r="IY61" s="164"/>
      <c r="IZ61" s="164"/>
      <c r="JA61" s="164"/>
      <c r="JB61" s="164"/>
      <c r="JC61" s="164"/>
      <c r="JD61" s="164"/>
      <c r="JE61" s="164"/>
      <c r="JF61" s="164"/>
      <c r="JG61" s="164"/>
      <c r="JH61" s="164"/>
      <c r="JI61" s="164"/>
      <c r="JJ61" s="164"/>
      <c r="JK61" s="164"/>
      <c r="JL61" s="164"/>
      <c r="JM61" s="164"/>
      <c r="JN61" s="164"/>
      <c r="JO61" s="164"/>
      <c r="JP61" s="164"/>
      <c r="JQ61" s="164"/>
      <c r="JR61" s="164"/>
      <c r="JS61" s="164"/>
      <c r="JT61" s="164"/>
      <c r="JU61" s="164"/>
      <c r="JV61" s="164"/>
      <c r="JW61" s="164"/>
      <c r="JX61" s="164"/>
      <c r="JY61" s="164"/>
      <c r="JZ61" s="164"/>
      <c r="KA61" s="164"/>
      <c r="KB61" s="164"/>
      <c r="KC61" s="164"/>
      <c r="KD61" s="164"/>
      <c r="KE61" s="164"/>
      <c r="KF61" s="164"/>
      <c r="KG61" s="164"/>
      <c r="KH61" s="164"/>
      <c r="KI61" s="164"/>
      <c r="KJ61" s="164"/>
      <c r="KK61" s="164"/>
      <c r="KL61" s="164"/>
      <c r="KM61" s="164"/>
      <c r="KN61" s="164"/>
      <c r="KO61" s="164"/>
      <c r="KP61" s="164"/>
      <c r="KQ61" s="164"/>
      <c r="KR61" s="164"/>
      <c r="KS61" s="164"/>
      <c r="KT61" s="164"/>
      <c r="KU61" s="164"/>
      <c r="KV61" s="164"/>
      <c r="KW61" s="164"/>
      <c r="KX61" s="164"/>
      <c r="KY61" s="164"/>
      <c r="KZ61" s="164"/>
      <c r="LA61" s="164"/>
      <c r="LB61" s="164"/>
      <c r="LC61" s="164"/>
      <c r="LD61" s="164"/>
      <c r="LE61" s="164"/>
      <c r="LF61" s="164"/>
      <c r="LG61" s="164"/>
      <c r="LH61" s="164"/>
      <c r="LI61" s="164"/>
      <c r="LJ61" s="164"/>
      <c r="LK61" s="164"/>
      <c r="LL61" s="164"/>
      <c r="LM61" s="164"/>
      <c r="LN61" s="164"/>
      <c r="LO61" s="164"/>
      <c r="LP61" s="164"/>
      <c r="LQ61" s="164"/>
      <c r="LR61" s="164"/>
      <c r="LS61" s="164"/>
      <c r="LT61" s="164"/>
      <c r="LU61" s="164"/>
      <c r="LV61" s="164"/>
      <c r="LW61" s="164"/>
      <c r="LX61" s="164"/>
      <c r="LY61" s="164"/>
      <c r="LZ61" s="164"/>
      <c r="MA61" s="164"/>
      <c r="MB61" s="164"/>
      <c r="MC61" s="164"/>
      <c r="MD61" s="164"/>
      <c r="ME61" s="164"/>
      <c r="MF61" s="164"/>
      <c r="MG61" s="164"/>
      <c r="MH61" s="164"/>
    </row>
    <row r="62" spans="1:346" s="165" customFormat="1" ht="16" x14ac:dyDescent="0.2">
      <c r="A62" s="166"/>
      <c r="B62" s="167"/>
      <c r="C62" s="166"/>
      <c r="D62" s="166"/>
      <c r="E62" s="166"/>
      <c r="F62" s="166"/>
      <c r="G62" s="166"/>
      <c r="H62" s="166"/>
      <c r="I62" s="166"/>
      <c r="J62" s="166"/>
      <c r="K62" s="166"/>
      <c r="L62" s="166"/>
      <c r="M62" s="166"/>
      <c r="N62" s="166"/>
      <c r="O62" s="166"/>
      <c r="P62" s="166"/>
      <c r="Q62" s="166"/>
      <c r="R62" s="164"/>
      <c r="S62" s="164"/>
      <c r="T62" s="164"/>
      <c r="U62" s="164"/>
      <c r="V62" s="164"/>
      <c r="W62" s="164"/>
      <c r="X62" s="164"/>
      <c r="Y62" s="164"/>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4"/>
      <c r="BA62" s="164"/>
      <c r="BB62" s="164"/>
      <c r="BC62" s="164"/>
      <c r="BD62" s="164"/>
      <c r="BE62" s="164"/>
      <c r="BF62" s="164"/>
      <c r="BG62" s="164"/>
      <c r="BH62" s="164"/>
      <c r="BI62" s="164"/>
      <c r="BJ62" s="164"/>
      <c r="BK62" s="164"/>
      <c r="BL62" s="164"/>
      <c r="BM62" s="164"/>
      <c r="BN62" s="164"/>
      <c r="BO62" s="164"/>
      <c r="BP62" s="164"/>
      <c r="BQ62" s="164"/>
      <c r="BR62" s="164"/>
      <c r="BS62" s="164"/>
      <c r="BT62" s="164"/>
      <c r="BU62" s="164"/>
      <c r="BV62" s="164"/>
      <c r="BW62" s="164"/>
      <c r="BX62" s="164"/>
      <c r="BY62" s="164"/>
      <c r="BZ62" s="164"/>
      <c r="CA62" s="164"/>
      <c r="CB62" s="164"/>
      <c r="CC62" s="164"/>
      <c r="CD62" s="164"/>
      <c r="CE62" s="164"/>
      <c r="CF62" s="164"/>
      <c r="CG62" s="164"/>
      <c r="CH62" s="164"/>
      <c r="CI62" s="164"/>
      <c r="CJ62" s="164"/>
      <c r="CK62" s="164"/>
      <c r="CL62" s="164"/>
      <c r="CM62" s="164"/>
      <c r="CN62" s="164"/>
      <c r="CO62" s="164"/>
      <c r="CP62" s="164"/>
      <c r="CQ62" s="164"/>
      <c r="CR62" s="164"/>
      <c r="CS62" s="164"/>
      <c r="CT62" s="164"/>
      <c r="CU62" s="164"/>
      <c r="CV62" s="164"/>
      <c r="CW62" s="164"/>
      <c r="CX62" s="164"/>
      <c r="CY62" s="164"/>
      <c r="CZ62" s="164"/>
      <c r="DA62" s="164"/>
      <c r="DB62" s="164"/>
      <c r="DC62" s="164"/>
      <c r="DD62" s="164"/>
      <c r="DE62" s="164"/>
      <c r="DF62" s="164"/>
      <c r="DG62" s="164"/>
      <c r="DH62" s="164"/>
      <c r="DI62" s="164"/>
      <c r="DJ62" s="164"/>
      <c r="DK62" s="164"/>
      <c r="DL62" s="164"/>
      <c r="DM62" s="164"/>
      <c r="DN62" s="164"/>
      <c r="DO62" s="164"/>
      <c r="DP62" s="164"/>
      <c r="DQ62" s="164"/>
      <c r="DR62" s="164"/>
      <c r="DS62" s="164"/>
      <c r="DT62" s="164"/>
      <c r="DU62" s="164"/>
      <c r="DV62" s="164"/>
      <c r="DW62" s="164"/>
      <c r="DX62" s="164"/>
      <c r="DY62" s="164"/>
      <c r="DZ62" s="164"/>
      <c r="EA62" s="164"/>
      <c r="EB62" s="164"/>
      <c r="EC62" s="164"/>
      <c r="ED62" s="164"/>
      <c r="EE62" s="164"/>
      <c r="EF62" s="164"/>
      <c r="EG62" s="164"/>
      <c r="EH62" s="164"/>
      <c r="EI62" s="164"/>
      <c r="EJ62" s="164"/>
      <c r="EK62" s="164"/>
      <c r="EL62" s="164"/>
      <c r="EM62" s="164"/>
      <c r="EN62" s="164"/>
      <c r="EO62" s="164"/>
      <c r="EP62" s="164"/>
      <c r="EQ62" s="164"/>
      <c r="ER62" s="164"/>
      <c r="ES62" s="164"/>
      <c r="ET62" s="164"/>
      <c r="EU62" s="164"/>
      <c r="EV62" s="164"/>
      <c r="EW62" s="164"/>
      <c r="EX62" s="164"/>
      <c r="EY62" s="164"/>
      <c r="EZ62" s="164"/>
      <c r="FA62" s="164"/>
      <c r="FB62" s="164"/>
      <c r="FC62" s="164"/>
      <c r="FD62" s="164"/>
      <c r="FE62" s="164"/>
      <c r="FF62" s="164"/>
      <c r="FG62" s="164"/>
      <c r="FH62" s="164"/>
      <c r="FI62" s="164"/>
      <c r="FJ62" s="164"/>
      <c r="FK62" s="164"/>
      <c r="FL62" s="164"/>
      <c r="FM62" s="164"/>
      <c r="FN62" s="164"/>
      <c r="FO62" s="164"/>
      <c r="FP62" s="164"/>
      <c r="FQ62" s="164"/>
      <c r="FR62" s="164"/>
      <c r="FS62" s="164"/>
      <c r="FT62" s="164"/>
      <c r="FU62" s="164"/>
      <c r="FV62" s="164"/>
      <c r="FW62" s="164"/>
      <c r="FX62" s="164"/>
      <c r="FY62" s="164"/>
      <c r="FZ62" s="164"/>
      <c r="GA62" s="164"/>
      <c r="GB62" s="164"/>
      <c r="GC62" s="164"/>
      <c r="GD62" s="164"/>
      <c r="GE62" s="164"/>
      <c r="GF62" s="164"/>
      <c r="GG62" s="164"/>
      <c r="GH62" s="164"/>
      <c r="GI62" s="164"/>
      <c r="GJ62" s="164"/>
      <c r="GK62" s="164"/>
      <c r="GL62" s="164"/>
      <c r="GM62" s="164"/>
      <c r="GN62" s="164"/>
      <c r="GO62" s="164"/>
      <c r="GP62" s="164"/>
      <c r="GQ62" s="164"/>
      <c r="GR62" s="164"/>
      <c r="GS62" s="164"/>
      <c r="GT62" s="164"/>
      <c r="GU62" s="164"/>
      <c r="GV62" s="164"/>
      <c r="GW62" s="164"/>
      <c r="GX62" s="164"/>
      <c r="GY62" s="164"/>
      <c r="GZ62" s="164"/>
      <c r="HA62" s="164"/>
      <c r="HB62" s="164"/>
      <c r="HC62" s="164"/>
      <c r="HD62" s="164"/>
      <c r="HE62" s="164"/>
      <c r="HF62" s="164"/>
      <c r="HG62" s="164"/>
      <c r="HH62" s="164"/>
      <c r="HI62" s="164"/>
      <c r="HJ62" s="164"/>
      <c r="HK62" s="164"/>
      <c r="HL62" s="164"/>
      <c r="HM62" s="164"/>
      <c r="HN62" s="164"/>
      <c r="HO62" s="164"/>
      <c r="HP62" s="164"/>
      <c r="HQ62" s="164"/>
      <c r="HR62" s="164"/>
      <c r="HS62" s="164"/>
      <c r="HT62" s="164"/>
      <c r="HU62" s="164"/>
      <c r="HV62" s="164"/>
      <c r="HW62" s="164"/>
      <c r="HX62" s="164"/>
      <c r="HY62" s="164"/>
      <c r="HZ62" s="164"/>
      <c r="IA62" s="164"/>
      <c r="IB62" s="164"/>
      <c r="IC62" s="164"/>
      <c r="ID62" s="164"/>
      <c r="IE62" s="164"/>
      <c r="IF62" s="164"/>
      <c r="IG62" s="164"/>
      <c r="IH62" s="164"/>
      <c r="II62" s="164"/>
      <c r="IJ62" s="164"/>
      <c r="IK62" s="164"/>
      <c r="IL62" s="164"/>
      <c r="IM62" s="164"/>
      <c r="IN62" s="164"/>
      <c r="IO62" s="164"/>
      <c r="IP62" s="164"/>
      <c r="IQ62" s="164"/>
      <c r="IR62" s="164"/>
      <c r="IS62" s="164"/>
      <c r="IT62" s="164"/>
      <c r="IU62" s="164"/>
      <c r="IV62" s="164"/>
      <c r="IW62" s="164"/>
      <c r="IX62" s="164"/>
      <c r="IY62" s="164"/>
      <c r="IZ62" s="164"/>
      <c r="JA62" s="164"/>
      <c r="JB62" s="164"/>
      <c r="JC62" s="164"/>
      <c r="JD62" s="164"/>
      <c r="JE62" s="164"/>
      <c r="JF62" s="164"/>
      <c r="JG62" s="164"/>
      <c r="JH62" s="164"/>
      <c r="JI62" s="164"/>
      <c r="JJ62" s="164"/>
      <c r="JK62" s="164"/>
      <c r="JL62" s="164"/>
      <c r="JM62" s="164"/>
      <c r="JN62" s="164"/>
      <c r="JO62" s="164"/>
      <c r="JP62" s="164"/>
      <c r="JQ62" s="164"/>
      <c r="JR62" s="164"/>
      <c r="JS62" s="164"/>
      <c r="JT62" s="164"/>
      <c r="JU62" s="164"/>
      <c r="JV62" s="164"/>
      <c r="JW62" s="164"/>
      <c r="JX62" s="164"/>
      <c r="JY62" s="164"/>
      <c r="JZ62" s="164"/>
      <c r="KA62" s="164"/>
      <c r="KB62" s="164"/>
      <c r="KC62" s="164"/>
      <c r="KD62" s="164"/>
      <c r="KE62" s="164"/>
      <c r="KF62" s="164"/>
      <c r="KG62" s="164"/>
      <c r="KH62" s="164"/>
      <c r="KI62" s="164"/>
      <c r="KJ62" s="164"/>
      <c r="KK62" s="164"/>
      <c r="KL62" s="164"/>
      <c r="KM62" s="164"/>
      <c r="KN62" s="164"/>
      <c r="KO62" s="164"/>
      <c r="KP62" s="164"/>
      <c r="KQ62" s="164"/>
      <c r="KR62" s="164"/>
      <c r="KS62" s="164"/>
      <c r="KT62" s="164"/>
      <c r="KU62" s="164"/>
      <c r="KV62" s="164"/>
      <c r="KW62" s="164"/>
      <c r="KX62" s="164"/>
      <c r="KY62" s="164"/>
      <c r="KZ62" s="164"/>
      <c r="LA62" s="164"/>
      <c r="LB62" s="164"/>
      <c r="LC62" s="164"/>
      <c r="LD62" s="164"/>
      <c r="LE62" s="164"/>
      <c r="LF62" s="164"/>
      <c r="LG62" s="164"/>
      <c r="LH62" s="164"/>
      <c r="LI62" s="164"/>
      <c r="LJ62" s="164"/>
      <c r="LK62" s="164"/>
      <c r="LL62" s="164"/>
      <c r="LM62" s="164"/>
      <c r="LN62" s="164"/>
      <c r="LO62" s="164"/>
      <c r="LP62" s="164"/>
      <c r="LQ62" s="164"/>
      <c r="LR62" s="164"/>
      <c r="LS62" s="164"/>
      <c r="LT62" s="164"/>
      <c r="LU62" s="164"/>
      <c r="LV62" s="164"/>
      <c r="LW62" s="164"/>
      <c r="LX62" s="164"/>
      <c r="LY62" s="164"/>
      <c r="LZ62" s="164"/>
      <c r="MA62" s="164"/>
      <c r="MB62" s="164"/>
      <c r="MC62" s="164"/>
      <c r="MD62" s="164"/>
      <c r="ME62" s="164"/>
      <c r="MF62" s="164"/>
      <c r="MG62" s="164"/>
      <c r="MH62" s="164"/>
    </row>
    <row r="63" spans="1:346" s="165" customFormat="1" ht="16" x14ac:dyDescent="0.2">
      <c r="A63" s="166"/>
      <c r="B63" s="167"/>
      <c r="C63" s="166"/>
      <c r="D63" s="166"/>
      <c r="E63" s="166"/>
      <c r="F63" s="166"/>
      <c r="G63" s="166"/>
      <c r="H63" s="166"/>
      <c r="I63" s="166"/>
      <c r="J63" s="166"/>
      <c r="K63" s="166"/>
      <c r="L63" s="166"/>
      <c r="M63" s="166"/>
      <c r="N63" s="166"/>
      <c r="O63" s="166"/>
      <c r="P63" s="166"/>
      <c r="Q63" s="166"/>
      <c r="R63" s="164"/>
      <c r="S63" s="164"/>
      <c r="T63" s="164"/>
      <c r="U63" s="164"/>
      <c r="V63" s="164"/>
      <c r="W63" s="164"/>
      <c r="X63" s="164"/>
      <c r="Y63" s="164"/>
      <c r="Z63" s="164"/>
      <c r="AA63" s="164"/>
      <c r="AB63" s="164"/>
      <c r="AC63" s="164"/>
      <c r="AD63" s="164"/>
      <c r="AE63" s="164"/>
      <c r="AF63" s="164"/>
      <c r="AG63" s="164"/>
      <c r="AH63" s="164"/>
      <c r="AI63" s="164"/>
      <c r="AJ63" s="164"/>
      <c r="AK63" s="164"/>
      <c r="AL63" s="164"/>
      <c r="AM63" s="164"/>
      <c r="AN63" s="164"/>
      <c r="AO63" s="164"/>
      <c r="AP63" s="164"/>
      <c r="AQ63" s="164"/>
      <c r="AR63" s="164"/>
      <c r="AS63" s="164"/>
      <c r="AT63" s="164"/>
      <c r="AU63" s="164"/>
      <c r="AV63" s="164"/>
      <c r="AW63" s="164"/>
      <c r="AX63" s="164"/>
      <c r="AY63" s="164"/>
      <c r="AZ63" s="164"/>
      <c r="BA63" s="164"/>
      <c r="BB63" s="164"/>
      <c r="BC63" s="164"/>
      <c r="BD63" s="164"/>
      <c r="BE63" s="164"/>
      <c r="BF63" s="164"/>
      <c r="BG63" s="164"/>
      <c r="BH63" s="164"/>
      <c r="BI63" s="164"/>
      <c r="BJ63" s="164"/>
      <c r="BK63" s="164"/>
      <c r="BL63" s="164"/>
      <c r="BM63" s="164"/>
      <c r="BN63" s="164"/>
      <c r="BO63" s="164"/>
      <c r="BP63" s="164"/>
      <c r="BQ63" s="164"/>
      <c r="BR63" s="164"/>
      <c r="BS63" s="164"/>
      <c r="BT63" s="164"/>
      <c r="BU63" s="164"/>
      <c r="BV63" s="164"/>
      <c r="BW63" s="164"/>
      <c r="BX63" s="164"/>
      <c r="BY63" s="164"/>
      <c r="BZ63" s="164"/>
      <c r="CA63" s="164"/>
      <c r="CB63" s="164"/>
      <c r="CC63" s="164"/>
      <c r="CD63" s="164"/>
      <c r="CE63" s="164"/>
      <c r="CF63" s="164"/>
      <c r="CG63" s="164"/>
      <c r="CH63" s="164"/>
      <c r="CI63" s="164"/>
      <c r="CJ63" s="164"/>
      <c r="CK63" s="164"/>
      <c r="CL63" s="164"/>
      <c r="CM63" s="164"/>
      <c r="CN63" s="164"/>
      <c r="CO63" s="164"/>
      <c r="CP63" s="164"/>
      <c r="CQ63" s="164"/>
      <c r="CR63" s="164"/>
      <c r="CS63" s="164"/>
      <c r="CT63" s="164"/>
      <c r="CU63" s="164"/>
      <c r="CV63" s="164"/>
      <c r="CW63" s="164"/>
      <c r="CX63" s="164"/>
      <c r="CY63" s="164"/>
      <c r="CZ63" s="164"/>
      <c r="DA63" s="164"/>
      <c r="DB63" s="164"/>
      <c r="DC63" s="164"/>
      <c r="DD63" s="164"/>
      <c r="DE63" s="164"/>
      <c r="DF63" s="164"/>
      <c r="DG63" s="164"/>
      <c r="DH63" s="164"/>
      <c r="DI63" s="164"/>
      <c r="DJ63" s="164"/>
      <c r="DK63" s="164"/>
      <c r="DL63" s="164"/>
      <c r="DM63" s="164"/>
      <c r="DN63" s="164"/>
      <c r="DO63" s="164"/>
      <c r="DP63" s="164"/>
      <c r="DQ63" s="164"/>
      <c r="DR63" s="164"/>
      <c r="DS63" s="164"/>
      <c r="DT63" s="164"/>
      <c r="DU63" s="164"/>
      <c r="DV63" s="164"/>
      <c r="DW63" s="164"/>
      <c r="DX63" s="164"/>
      <c r="DY63" s="164"/>
      <c r="DZ63" s="164"/>
      <c r="EA63" s="164"/>
      <c r="EB63" s="164"/>
      <c r="EC63" s="164"/>
      <c r="ED63" s="164"/>
      <c r="EE63" s="164"/>
      <c r="EF63" s="164"/>
      <c r="EG63" s="164"/>
      <c r="EH63" s="164"/>
      <c r="EI63" s="164"/>
      <c r="EJ63" s="164"/>
      <c r="EK63" s="164"/>
      <c r="EL63" s="164"/>
      <c r="EM63" s="164"/>
      <c r="EN63" s="164"/>
      <c r="EO63" s="164"/>
      <c r="EP63" s="164"/>
      <c r="EQ63" s="164"/>
      <c r="ER63" s="164"/>
      <c r="ES63" s="164"/>
      <c r="ET63" s="164"/>
      <c r="EU63" s="164"/>
      <c r="EV63" s="164"/>
      <c r="EW63" s="164"/>
      <c r="EX63" s="164"/>
      <c r="EY63" s="164"/>
      <c r="EZ63" s="164"/>
      <c r="FA63" s="164"/>
      <c r="FB63" s="164"/>
      <c r="FC63" s="164"/>
      <c r="FD63" s="164"/>
      <c r="FE63" s="164"/>
      <c r="FF63" s="164"/>
      <c r="FG63" s="164"/>
      <c r="FH63" s="164"/>
      <c r="FI63" s="164"/>
      <c r="FJ63" s="164"/>
      <c r="FK63" s="164"/>
      <c r="FL63" s="164"/>
      <c r="FM63" s="164"/>
      <c r="FN63" s="164"/>
      <c r="FO63" s="164"/>
      <c r="FP63" s="164"/>
      <c r="FQ63" s="164"/>
      <c r="FR63" s="164"/>
      <c r="FS63" s="164"/>
      <c r="FT63" s="164"/>
      <c r="FU63" s="164"/>
      <c r="FV63" s="164"/>
      <c r="FW63" s="164"/>
      <c r="FX63" s="164"/>
      <c r="FY63" s="164"/>
      <c r="FZ63" s="164"/>
      <c r="GA63" s="164"/>
      <c r="GB63" s="164"/>
      <c r="GC63" s="164"/>
      <c r="GD63" s="164"/>
      <c r="GE63" s="164"/>
      <c r="GF63" s="164"/>
      <c r="GG63" s="164"/>
      <c r="GH63" s="164"/>
      <c r="GI63" s="164"/>
      <c r="GJ63" s="164"/>
      <c r="GK63" s="164"/>
      <c r="GL63" s="164"/>
      <c r="GM63" s="164"/>
      <c r="GN63" s="164"/>
      <c r="GO63" s="164"/>
      <c r="GP63" s="164"/>
      <c r="GQ63" s="164"/>
      <c r="GR63" s="164"/>
      <c r="GS63" s="164"/>
      <c r="GT63" s="164"/>
      <c r="GU63" s="164"/>
      <c r="GV63" s="164"/>
      <c r="GW63" s="164"/>
      <c r="GX63" s="164"/>
      <c r="GY63" s="164"/>
      <c r="GZ63" s="164"/>
      <c r="HA63" s="164"/>
      <c r="HB63" s="164"/>
      <c r="HC63" s="164"/>
      <c r="HD63" s="164"/>
      <c r="HE63" s="164"/>
      <c r="HF63" s="164"/>
      <c r="HG63" s="164"/>
      <c r="HH63" s="164"/>
      <c r="HI63" s="164"/>
      <c r="HJ63" s="164"/>
      <c r="HK63" s="164"/>
      <c r="HL63" s="164"/>
      <c r="HM63" s="164"/>
      <c r="HN63" s="164"/>
      <c r="HO63" s="164"/>
      <c r="HP63" s="164"/>
      <c r="HQ63" s="164"/>
      <c r="HR63" s="164"/>
      <c r="HS63" s="164"/>
      <c r="HT63" s="164"/>
      <c r="HU63" s="164"/>
      <c r="HV63" s="164"/>
      <c r="HW63" s="164"/>
      <c r="HX63" s="164"/>
      <c r="HY63" s="164"/>
      <c r="HZ63" s="164"/>
      <c r="IA63" s="164"/>
      <c r="IB63" s="164"/>
      <c r="IC63" s="164"/>
      <c r="ID63" s="164"/>
      <c r="IE63" s="164"/>
      <c r="IF63" s="164"/>
      <c r="IG63" s="164"/>
      <c r="IH63" s="164"/>
      <c r="II63" s="164"/>
      <c r="IJ63" s="164"/>
      <c r="IK63" s="164"/>
      <c r="IL63" s="164"/>
      <c r="IM63" s="164"/>
      <c r="IN63" s="164"/>
      <c r="IO63" s="164"/>
      <c r="IP63" s="164"/>
      <c r="IQ63" s="164"/>
      <c r="IR63" s="164"/>
      <c r="IS63" s="164"/>
      <c r="IT63" s="164"/>
      <c r="IU63" s="164"/>
      <c r="IV63" s="164"/>
      <c r="IW63" s="164"/>
      <c r="IX63" s="164"/>
      <c r="IY63" s="164"/>
      <c r="IZ63" s="164"/>
      <c r="JA63" s="164"/>
      <c r="JB63" s="164"/>
      <c r="JC63" s="164"/>
      <c r="JD63" s="164"/>
      <c r="JE63" s="164"/>
      <c r="JF63" s="164"/>
      <c r="JG63" s="164"/>
      <c r="JH63" s="164"/>
      <c r="JI63" s="164"/>
      <c r="JJ63" s="164"/>
      <c r="JK63" s="164"/>
      <c r="JL63" s="164"/>
      <c r="JM63" s="164"/>
      <c r="JN63" s="164"/>
      <c r="JO63" s="164"/>
      <c r="JP63" s="164"/>
      <c r="JQ63" s="164"/>
      <c r="JR63" s="164"/>
      <c r="JS63" s="164"/>
      <c r="JT63" s="164"/>
      <c r="JU63" s="164"/>
      <c r="JV63" s="164"/>
      <c r="JW63" s="164"/>
      <c r="JX63" s="164"/>
      <c r="JY63" s="164"/>
      <c r="JZ63" s="164"/>
      <c r="KA63" s="164"/>
      <c r="KB63" s="164"/>
      <c r="KC63" s="164"/>
      <c r="KD63" s="164"/>
      <c r="KE63" s="164"/>
      <c r="KF63" s="164"/>
      <c r="KG63" s="164"/>
      <c r="KH63" s="164"/>
      <c r="KI63" s="164"/>
      <c r="KJ63" s="164"/>
      <c r="KK63" s="164"/>
      <c r="KL63" s="164"/>
      <c r="KM63" s="164"/>
      <c r="KN63" s="164"/>
      <c r="KO63" s="164"/>
      <c r="KP63" s="164"/>
      <c r="KQ63" s="164"/>
      <c r="KR63" s="164"/>
      <c r="KS63" s="164"/>
      <c r="KT63" s="164"/>
      <c r="KU63" s="164"/>
      <c r="KV63" s="164"/>
      <c r="KW63" s="164"/>
      <c r="KX63" s="164"/>
      <c r="KY63" s="164"/>
      <c r="KZ63" s="164"/>
      <c r="LA63" s="164"/>
      <c r="LB63" s="164"/>
      <c r="LC63" s="164"/>
      <c r="LD63" s="164"/>
      <c r="LE63" s="164"/>
      <c r="LF63" s="164"/>
      <c r="LG63" s="164"/>
      <c r="LH63" s="164"/>
      <c r="LI63" s="164"/>
      <c r="LJ63" s="164"/>
      <c r="LK63" s="164"/>
      <c r="LL63" s="164"/>
      <c r="LM63" s="164"/>
      <c r="LN63" s="164"/>
      <c r="LO63" s="164"/>
      <c r="LP63" s="164"/>
      <c r="LQ63" s="164"/>
      <c r="LR63" s="164"/>
      <c r="LS63" s="164"/>
      <c r="LT63" s="164"/>
      <c r="LU63" s="164"/>
      <c r="LV63" s="164"/>
      <c r="LW63" s="164"/>
      <c r="LX63" s="164"/>
      <c r="LY63" s="164"/>
      <c r="LZ63" s="164"/>
      <c r="MA63" s="164"/>
      <c r="MB63" s="164"/>
      <c r="MC63" s="164"/>
      <c r="MD63" s="164"/>
      <c r="ME63" s="164"/>
      <c r="MF63" s="164"/>
      <c r="MG63" s="164"/>
      <c r="MH63" s="164"/>
    </row>
    <row r="64" spans="1:346" s="165" customFormat="1" ht="16" x14ac:dyDescent="0.2">
      <c r="A64" s="166"/>
      <c r="B64" s="167"/>
      <c r="C64" s="166"/>
      <c r="D64" s="166"/>
      <c r="E64" s="166"/>
      <c r="F64" s="166"/>
      <c r="G64" s="166"/>
      <c r="H64" s="166"/>
      <c r="I64" s="166"/>
      <c r="J64" s="166"/>
      <c r="K64" s="166"/>
      <c r="L64" s="166"/>
      <c r="M64" s="166"/>
      <c r="N64" s="166"/>
      <c r="O64" s="166"/>
      <c r="P64" s="166"/>
      <c r="Q64" s="166"/>
      <c r="R64" s="164"/>
      <c r="S64" s="164"/>
      <c r="T64" s="164"/>
      <c r="U64" s="164"/>
      <c r="V64" s="164"/>
      <c r="W64" s="164"/>
      <c r="X64" s="164"/>
      <c r="Y64" s="164"/>
      <c r="Z64" s="164"/>
      <c r="AA64" s="164"/>
      <c r="AB64" s="164"/>
      <c r="AC64" s="164"/>
      <c r="AD64" s="164"/>
      <c r="AE64" s="164"/>
      <c r="AF64" s="164"/>
      <c r="AG64" s="164"/>
      <c r="AH64" s="164"/>
      <c r="AI64" s="164"/>
      <c r="AJ64" s="164"/>
      <c r="AK64" s="164"/>
      <c r="AL64" s="164"/>
      <c r="AM64" s="164"/>
      <c r="AN64" s="164"/>
      <c r="AO64" s="164"/>
      <c r="AP64" s="164"/>
      <c r="AQ64" s="164"/>
      <c r="AR64" s="164"/>
      <c r="AS64" s="164"/>
      <c r="AT64" s="164"/>
      <c r="AU64" s="164"/>
      <c r="AV64" s="164"/>
      <c r="AW64" s="164"/>
      <c r="AX64" s="164"/>
      <c r="AY64" s="164"/>
      <c r="AZ64" s="164"/>
      <c r="BA64" s="164"/>
      <c r="BB64" s="164"/>
      <c r="BC64" s="164"/>
      <c r="BD64" s="164"/>
      <c r="BE64" s="164"/>
      <c r="BF64" s="164"/>
      <c r="BG64" s="164"/>
      <c r="BH64" s="164"/>
      <c r="BI64" s="164"/>
      <c r="BJ64" s="164"/>
      <c r="BK64" s="164"/>
      <c r="BL64" s="164"/>
      <c r="BM64" s="164"/>
      <c r="BN64" s="164"/>
      <c r="BO64" s="164"/>
      <c r="BP64" s="164"/>
      <c r="BQ64" s="164"/>
      <c r="BR64" s="164"/>
      <c r="BS64" s="164"/>
      <c r="BT64" s="164"/>
      <c r="BU64" s="164"/>
      <c r="BV64" s="164"/>
      <c r="BW64" s="164"/>
      <c r="BX64" s="164"/>
      <c r="BY64" s="164"/>
      <c r="BZ64" s="164"/>
      <c r="CA64" s="164"/>
      <c r="CB64" s="164"/>
      <c r="CC64" s="164"/>
      <c r="CD64" s="164"/>
      <c r="CE64" s="164"/>
      <c r="CF64" s="164"/>
      <c r="CG64" s="164"/>
      <c r="CH64" s="164"/>
      <c r="CI64" s="164"/>
      <c r="CJ64" s="164"/>
      <c r="CK64" s="164"/>
      <c r="CL64" s="164"/>
      <c r="CM64" s="164"/>
      <c r="CN64" s="164"/>
      <c r="CO64" s="164"/>
      <c r="CP64" s="164"/>
      <c r="CQ64" s="164"/>
      <c r="CR64" s="164"/>
      <c r="CS64" s="164"/>
      <c r="CT64" s="164"/>
      <c r="CU64" s="164"/>
      <c r="CV64" s="164"/>
      <c r="CW64" s="164"/>
      <c r="CX64" s="164"/>
      <c r="CY64" s="164"/>
      <c r="CZ64" s="164"/>
      <c r="DA64" s="164"/>
      <c r="DB64" s="164"/>
      <c r="DC64" s="164"/>
      <c r="DD64" s="164"/>
      <c r="DE64" s="164"/>
      <c r="DF64" s="164"/>
      <c r="DG64" s="164"/>
      <c r="DH64" s="164"/>
      <c r="DI64" s="164"/>
      <c r="DJ64" s="164"/>
      <c r="DK64" s="164"/>
      <c r="DL64" s="164"/>
      <c r="DM64" s="164"/>
      <c r="DN64" s="164"/>
      <c r="DO64" s="164"/>
      <c r="DP64" s="164"/>
      <c r="DQ64" s="164"/>
      <c r="DR64" s="164"/>
      <c r="DS64" s="164"/>
      <c r="DT64" s="164"/>
      <c r="DU64" s="164"/>
      <c r="DV64" s="164"/>
      <c r="DW64" s="164"/>
      <c r="DX64" s="164"/>
      <c r="DY64" s="164"/>
      <c r="DZ64" s="164"/>
      <c r="EA64" s="164"/>
      <c r="EB64" s="164"/>
      <c r="EC64" s="164"/>
      <c r="ED64" s="164"/>
      <c r="EE64" s="164"/>
      <c r="EF64" s="164"/>
      <c r="EG64" s="164"/>
      <c r="EH64" s="164"/>
      <c r="EI64" s="164"/>
      <c r="EJ64" s="164"/>
      <c r="EK64" s="164"/>
      <c r="EL64" s="164"/>
      <c r="EM64" s="164"/>
      <c r="EN64" s="164"/>
      <c r="EO64" s="164"/>
      <c r="EP64" s="164"/>
      <c r="EQ64" s="164"/>
      <c r="ER64" s="164"/>
      <c r="ES64" s="164"/>
      <c r="ET64" s="164"/>
      <c r="EU64" s="164"/>
      <c r="EV64" s="164"/>
      <c r="EW64" s="164"/>
      <c r="EX64" s="164"/>
      <c r="EY64" s="164"/>
      <c r="EZ64" s="164"/>
      <c r="FA64" s="164"/>
      <c r="FB64" s="164"/>
      <c r="FC64" s="164"/>
      <c r="FD64" s="164"/>
      <c r="FE64" s="164"/>
      <c r="FF64" s="164"/>
      <c r="FG64" s="164"/>
      <c r="FH64" s="164"/>
      <c r="FI64" s="164"/>
      <c r="FJ64" s="164"/>
      <c r="FK64" s="164"/>
      <c r="FL64" s="164"/>
      <c r="FM64" s="164"/>
      <c r="FN64" s="164"/>
      <c r="FO64" s="164"/>
      <c r="FP64" s="164"/>
      <c r="FQ64" s="164"/>
      <c r="FR64" s="164"/>
      <c r="FS64" s="164"/>
      <c r="FT64" s="164"/>
      <c r="FU64" s="164"/>
      <c r="FV64" s="164"/>
      <c r="FW64" s="164"/>
      <c r="FX64" s="164"/>
      <c r="FY64" s="164"/>
      <c r="FZ64" s="164"/>
      <c r="GA64" s="164"/>
      <c r="GB64" s="164"/>
      <c r="GC64" s="164"/>
      <c r="GD64" s="164"/>
      <c r="GE64" s="164"/>
      <c r="GF64" s="164"/>
      <c r="GG64" s="164"/>
      <c r="GH64" s="164"/>
      <c r="GI64" s="164"/>
      <c r="GJ64" s="164"/>
      <c r="GK64" s="164"/>
      <c r="GL64" s="164"/>
      <c r="GM64" s="164"/>
      <c r="GN64" s="164"/>
      <c r="GO64" s="164"/>
      <c r="GP64" s="164"/>
      <c r="GQ64" s="164"/>
      <c r="GR64" s="164"/>
      <c r="GS64" s="164"/>
      <c r="GT64" s="164"/>
      <c r="GU64" s="164"/>
      <c r="GV64" s="164"/>
      <c r="GW64" s="164"/>
      <c r="GX64" s="164"/>
      <c r="GY64" s="164"/>
      <c r="GZ64" s="164"/>
      <c r="HA64" s="164"/>
      <c r="HB64" s="164"/>
      <c r="HC64" s="164"/>
      <c r="HD64" s="164"/>
      <c r="HE64" s="164"/>
      <c r="HF64" s="164"/>
      <c r="HG64" s="164"/>
      <c r="HH64" s="164"/>
      <c r="HI64" s="164"/>
      <c r="HJ64" s="164"/>
      <c r="HK64" s="164"/>
      <c r="HL64" s="164"/>
      <c r="HM64" s="164"/>
      <c r="HN64" s="164"/>
      <c r="HO64" s="164"/>
      <c r="HP64" s="164"/>
      <c r="HQ64" s="164"/>
      <c r="HR64" s="164"/>
      <c r="HS64" s="164"/>
      <c r="HT64" s="164"/>
      <c r="HU64" s="164"/>
      <c r="HV64" s="164"/>
      <c r="HW64" s="164"/>
      <c r="HX64" s="164"/>
      <c r="HY64" s="164"/>
      <c r="HZ64" s="164"/>
      <c r="IA64" s="164"/>
      <c r="IB64" s="164"/>
      <c r="IC64" s="164"/>
      <c r="ID64" s="164"/>
      <c r="IE64" s="164"/>
      <c r="IF64" s="164"/>
      <c r="IG64" s="164"/>
      <c r="IH64" s="164"/>
      <c r="II64" s="164"/>
      <c r="IJ64" s="164"/>
      <c r="IK64" s="164"/>
      <c r="IL64" s="164"/>
      <c r="IM64" s="164"/>
      <c r="IN64" s="164"/>
      <c r="IO64" s="164"/>
      <c r="IP64" s="164"/>
      <c r="IQ64" s="164"/>
      <c r="IR64" s="164"/>
      <c r="IS64" s="164"/>
      <c r="IT64" s="164"/>
      <c r="IU64" s="164"/>
      <c r="IV64" s="164"/>
      <c r="IW64" s="164"/>
      <c r="IX64" s="164"/>
      <c r="IY64" s="164"/>
      <c r="IZ64" s="164"/>
      <c r="JA64" s="164"/>
      <c r="JB64" s="164"/>
      <c r="JC64" s="164"/>
      <c r="JD64" s="164"/>
      <c r="JE64" s="164"/>
      <c r="JF64" s="164"/>
      <c r="JG64" s="164"/>
      <c r="JH64" s="164"/>
      <c r="JI64" s="164"/>
      <c r="JJ64" s="164"/>
      <c r="JK64" s="164"/>
      <c r="JL64" s="164"/>
      <c r="JM64" s="164"/>
      <c r="JN64" s="164"/>
      <c r="JO64" s="164"/>
      <c r="JP64" s="164"/>
      <c r="JQ64" s="164"/>
      <c r="JR64" s="164"/>
      <c r="JS64" s="164"/>
      <c r="JT64" s="164"/>
      <c r="JU64" s="164"/>
      <c r="JV64" s="164"/>
      <c r="JW64" s="164"/>
      <c r="JX64" s="164"/>
      <c r="JY64" s="164"/>
      <c r="JZ64" s="164"/>
      <c r="KA64" s="164"/>
      <c r="KB64" s="164"/>
      <c r="KC64" s="164"/>
      <c r="KD64" s="164"/>
      <c r="KE64" s="164"/>
      <c r="KF64" s="164"/>
      <c r="KG64" s="164"/>
      <c r="KH64" s="164"/>
      <c r="KI64" s="164"/>
      <c r="KJ64" s="164"/>
      <c r="KK64" s="164"/>
      <c r="KL64" s="164"/>
      <c r="KM64" s="164"/>
      <c r="KN64" s="164"/>
      <c r="KO64" s="164"/>
      <c r="KP64" s="164"/>
      <c r="KQ64" s="164"/>
      <c r="KR64" s="164"/>
      <c r="KS64" s="164"/>
      <c r="KT64" s="164"/>
      <c r="KU64" s="164"/>
      <c r="KV64" s="164"/>
      <c r="KW64" s="164"/>
      <c r="KX64" s="164"/>
      <c r="KY64" s="164"/>
      <c r="KZ64" s="164"/>
      <c r="LA64" s="164"/>
      <c r="LB64" s="164"/>
      <c r="LC64" s="164"/>
      <c r="LD64" s="164"/>
      <c r="LE64" s="164"/>
      <c r="LF64" s="164"/>
      <c r="LG64" s="164"/>
      <c r="LH64" s="164"/>
      <c r="LI64" s="164"/>
      <c r="LJ64" s="164"/>
      <c r="LK64" s="164"/>
      <c r="LL64" s="164"/>
      <c r="LM64" s="164"/>
      <c r="LN64" s="164"/>
      <c r="LO64" s="164"/>
      <c r="LP64" s="164"/>
      <c r="LQ64" s="164"/>
      <c r="LR64" s="164"/>
      <c r="LS64" s="164"/>
      <c r="LT64" s="164"/>
      <c r="LU64" s="164"/>
      <c r="LV64" s="164"/>
      <c r="LW64" s="164"/>
      <c r="LX64" s="164"/>
      <c r="LY64" s="164"/>
      <c r="LZ64" s="164"/>
      <c r="MA64" s="164"/>
      <c r="MB64" s="164"/>
      <c r="MC64" s="164"/>
      <c r="MD64" s="164"/>
      <c r="ME64" s="164"/>
      <c r="MF64" s="164"/>
      <c r="MG64" s="164"/>
      <c r="MH64" s="164"/>
    </row>
    <row r="65" spans="1:346" s="165" customFormat="1" ht="16" x14ac:dyDescent="0.2">
      <c r="A65" s="166"/>
      <c r="B65" s="167"/>
      <c r="C65" s="166"/>
      <c r="D65" s="166"/>
      <c r="E65" s="166"/>
      <c r="F65" s="166"/>
      <c r="G65" s="166"/>
      <c r="H65" s="166"/>
      <c r="I65" s="166"/>
      <c r="J65" s="166"/>
      <c r="K65" s="166"/>
      <c r="L65" s="166"/>
      <c r="M65" s="166"/>
      <c r="N65" s="166"/>
      <c r="O65" s="166"/>
      <c r="P65" s="166"/>
      <c r="Q65" s="166"/>
      <c r="R65" s="164"/>
      <c r="S65" s="164"/>
      <c r="T65" s="164"/>
      <c r="U65" s="164"/>
      <c r="V65" s="164"/>
      <c r="W65" s="164"/>
      <c r="X65" s="164"/>
      <c r="Y65" s="164"/>
      <c r="Z65" s="164"/>
      <c r="AA65" s="164"/>
      <c r="AB65" s="164"/>
      <c r="AC65" s="164"/>
      <c r="AD65" s="164"/>
      <c r="AE65" s="164"/>
      <c r="AF65" s="164"/>
      <c r="AG65" s="164"/>
      <c r="AH65" s="164"/>
      <c r="AI65" s="164"/>
      <c r="AJ65" s="164"/>
      <c r="AK65" s="164"/>
      <c r="AL65" s="164"/>
      <c r="AM65" s="164"/>
      <c r="AN65" s="164"/>
      <c r="AO65" s="164"/>
      <c r="AP65" s="164"/>
      <c r="AQ65" s="164"/>
      <c r="AR65" s="164"/>
      <c r="AS65" s="164"/>
      <c r="AT65" s="164"/>
      <c r="AU65" s="164"/>
      <c r="AV65" s="164"/>
      <c r="AW65" s="164"/>
      <c r="AX65" s="164"/>
      <c r="AY65" s="164"/>
      <c r="AZ65" s="164"/>
      <c r="BA65" s="164"/>
      <c r="BB65" s="164"/>
      <c r="BC65" s="164"/>
      <c r="BD65" s="164"/>
      <c r="BE65" s="164"/>
      <c r="BF65" s="164"/>
      <c r="BG65" s="164"/>
      <c r="BH65" s="164"/>
      <c r="BI65" s="164"/>
      <c r="BJ65" s="164"/>
      <c r="BK65" s="164"/>
      <c r="BL65" s="164"/>
      <c r="BM65" s="164"/>
      <c r="BN65" s="164"/>
      <c r="BO65" s="164"/>
      <c r="BP65" s="164"/>
      <c r="BQ65" s="164"/>
      <c r="BR65" s="164"/>
      <c r="BS65" s="164"/>
      <c r="BT65" s="164"/>
      <c r="BU65" s="164"/>
      <c r="BV65" s="164"/>
      <c r="BW65" s="164"/>
      <c r="BX65" s="164"/>
      <c r="BY65" s="164"/>
      <c r="BZ65" s="164"/>
      <c r="CA65" s="164"/>
      <c r="CB65" s="164"/>
      <c r="CC65" s="164"/>
      <c r="CD65" s="164"/>
      <c r="CE65" s="164"/>
      <c r="CF65" s="164"/>
      <c r="CG65" s="164"/>
      <c r="CH65" s="164"/>
      <c r="CI65" s="164"/>
      <c r="CJ65" s="164"/>
      <c r="CK65" s="164"/>
      <c r="CL65" s="164"/>
      <c r="CM65" s="164"/>
      <c r="CN65" s="164"/>
      <c r="CO65" s="164"/>
      <c r="CP65" s="164"/>
      <c r="CQ65" s="164"/>
      <c r="CR65" s="164"/>
      <c r="CS65" s="164"/>
      <c r="CT65" s="164"/>
      <c r="CU65" s="164"/>
      <c r="CV65" s="164"/>
      <c r="CW65" s="164"/>
      <c r="CX65" s="164"/>
      <c r="CY65" s="164"/>
      <c r="CZ65" s="164"/>
      <c r="DA65" s="164"/>
      <c r="DB65" s="164"/>
      <c r="DC65" s="164"/>
      <c r="DD65" s="164"/>
      <c r="DE65" s="164"/>
      <c r="DF65" s="164"/>
      <c r="DG65" s="164"/>
      <c r="DH65" s="164"/>
      <c r="DI65" s="164"/>
      <c r="DJ65" s="164"/>
      <c r="DK65" s="164"/>
      <c r="DL65" s="164"/>
      <c r="DM65" s="164"/>
      <c r="DN65" s="164"/>
      <c r="DO65" s="164"/>
      <c r="DP65" s="164"/>
      <c r="DQ65" s="164"/>
      <c r="DR65" s="164"/>
      <c r="DS65" s="164"/>
      <c r="DT65" s="164"/>
      <c r="DU65" s="164"/>
      <c r="DV65" s="164"/>
      <c r="DW65" s="164"/>
      <c r="DX65" s="164"/>
      <c r="DY65" s="164"/>
      <c r="DZ65" s="164"/>
      <c r="EA65" s="164"/>
      <c r="EB65" s="164"/>
      <c r="EC65" s="164"/>
      <c r="ED65" s="164"/>
      <c r="EE65" s="164"/>
      <c r="EF65" s="164"/>
      <c r="EG65" s="164"/>
      <c r="EH65" s="164"/>
      <c r="EI65" s="164"/>
      <c r="EJ65" s="164"/>
      <c r="EK65" s="164"/>
      <c r="EL65" s="164"/>
      <c r="EM65" s="164"/>
      <c r="EN65" s="164"/>
      <c r="EO65" s="164"/>
      <c r="EP65" s="164"/>
      <c r="EQ65" s="164"/>
      <c r="ER65" s="164"/>
      <c r="ES65" s="164"/>
      <c r="ET65" s="164"/>
      <c r="EU65" s="164"/>
      <c r="EV65" s="164"/>
      <c r="EW65" s="164"/>
      <c r="EX65" s="164"/>
      <c r="EY65" s="164"/>
      <c r="EZ65" s="164"/>
      <c r="FA65" s="164"/>
      <c r="FB65" s="164"/>
      <c r="FC65" s="164"/>
      <c r="FD65" s="164"/>
      <c r="FE65" s="164"/>
      <c r="FF65" s="164"/>
      <c r="FG65" s="164"/>
      <c r="FH65" s="164"/>
      <c r="FI65" s="164"/>
      <c r="FJ65" s="164"/>
      <c r="FK65" s="164"/>
      <c r="FL65" s="164"/>
      <c r="FM65" s="164"/>
      <c r="FN65" s="164"/>
      <c r="FO65" s="164"/>
      <c r="FP65" s="164"/>
      <c r="FQ65" s="164"/>
      <c r="FR65" s="164"/>
      <c r="FS65" s="164"/>
      <c r="FT65" s="164"/>
      <c r="FU65" s="164"/>
      <c r="FV65" s="164"/>
      <c r="FW65" s="164"/>
      <c r="FX65" s="164"/>
      <c r="FY65" s="164"/>
      <c r="FZ65" s="164"/>
      <c r="GA65" s="164"/>
      <c r="GB65" s="164"/>
      <c r="GC65" s="164"/>
      <c r="GD65" s="164"/>
      <c r="GE65" s="164"/>
      <c r="GF65" s="164"/>
      <c r="GG65" s="164"/>
      <c r="GH65" s="164"/>
      <c r="GI65" s="164"/>
      <c r="GJ65" s="164"/>
      <c r="GK65" s="164"/>
      <c r="GL65" s="164"/>
      <c r="GM65" s="164"/>
      <c r="GN65" s="164"/>
      <c r="GO65" s="164"/>
      <c r="GP65" s="164"/>
      <c r="GQ65" s="164"/>
      <c r="GR65" s="164"/>
      <c r="GS65" s="164"/>
      <c r="GT65" s="164"/>
      <c r="GU65" s="164"/>
      <c r="GV65" s="164"/>
      <c r="GW65" s="164"/>
      <c r="GX65" s="164"/>
      <c r="GY65" s="164"/>
      <c r="GZ65" s="164"/>
      <c r="HA65" s="164"/>
      <c r="HB65" s="164"/>
      <c r="HC65" s="164"/>
      <c r="HD65" s="164"/>
      <c r="HE65" s="164"/>
      <c r="HF65" s="164"/>
      <c r="HG65" s="164"/>
      <c r="HH65" s="164"/>
      <c r="HI65" s="164"/>
      <c r="HJ65" s="164"/>
      <c r="HK65" s="164"/>
      <c r="HL65" s="164"/>
      <c r="HM65" s="164"/>
      <c r="HN65" s="164"/>
      <c r="HO65" s="164"/>
      <c r="HP65" s="164"/>
      <c r="HQ65" s="164"/>
      <c r="HR65" s="164"/>
      <c r="HS65" s="164"/>
      <c r="HT65" s="164"/>
      <c r="HU65" s="164"/>
      <c r="HV65" s="164"/>
      <c r="HW65" s="164"/>
      <c r="HX65" s="164"/>
      <c r="HY65" s="164"/>
      <c r="HZ65" s="164"/>
      <c r="IA65" s="164"/>
      <c r="IB65" s="164"/>
      <c r="IC65" s="164"/>
      <c r="ID65" s="164"/>
      <c r="IE65" s="164"/>
      <c r="IF65" s="164"/>
      <c r="IG65" s="164"/>
      <c r="IH65" s="164"/>
      <c r="II65" s="164"/>
      <c r="IJ65" s="164"/>
      <c r="IK65" s="164"/>
      <c r="IL65" s="164"/>
      <c r="IM65" s="164"/>
      <c r="IN65" s="164"/>
      <c r="IO65" s="164"/>
      <c r="IP65" s="164"/>
      <c r="IQ65" s="164"/>
      <c r="IR65" s="164"/>
      <c r="IS65" s="164"/>
      <c r="IT65" s="164"/>
      <c r="IU65" s="164"/>
      <c r="IV65" s="164"/>
      <c r="IW65" s="164"/>
      <c r="IX65" s="164"/>
      <c r="IY65" s="164"/>
      <c r="IZ65" s="164"/>
      <c r="JA65" s="164"/>
      <c r="JB65" s="164"/>
      <c r="JC65" s="164"/>
      <c r="JD65" s="164"/>
      <c r="JE65" s="164"/>
      <c r="JF65" s="164"/>
      <c r="JG65" s="164"/>
      <c r="JH65" s="164"/>
      <c r="JI65" s="164"/>
      <c r="JJ65" s="164"/>
      <c r="JK65" s="164"/>
      <c r="JL65" s="164"/>
      <c r="JM65" s="164"/>
      <c r="JN65" s="164"/>
      <c r="JO65" s="164"/>
      <c r="JP65" s="164"/>
      <c r="JQ65" s="164"/>
      <c r="JR65" s="164"/>
      <c r="JS65" s="164"/>
      <c r="JT65" s="164"/>
      <c r="JU65" s="164"/>
      <c r="JV65" s="164"/>
      <c r="JW65" s="164"/>
      <c r="JX65" s="164"/>
      <c r="JY65" s="164"/>
      <c r="JZ65" s="164"/>
      <c r="KA65" s="164"/>
      <c r="KB65" s="164"/>
      <c r="KC65" s="164"/>
      <c r="KD65" s="164"/>
      <c r="KE65" s="164"/>
      <c r="KF65" s="164"/>
      <c r="KG65" s="164"/>
      <c r="KH65" s="164"/>
      <c r="KI65" s="164"/>
      <c r="KJ65" s="164"/>
      <c r="KK65" s="164"/>
      <c r="KL65" s="164"/>
      <c r="KM65" s="164"/>
      <c r="KN65" s="164"/>
      <c r="KO65" s="164"/>
      <c r="KP65" s="164"/>
      <c r="KQ65" s="164"/>
      <c r="KR65" s="164"/>
      <c r="KS65" s="164"/>
      <c r="KT65" s="164"/>
      <c r="KU65" s="164"/>
      <c r="KV65" s="164"/>
      <c r="KW65" s="164"/>
      <c r="KX65" s="164"/>
      <c r="KY65" s="164"/>
      <c r="KZ65" s="164"/>
      <c r="LA65" s="164"/>
      <c r="LB65" s="164"/>
      <c r="LC65" s="164"/>
      <c r="LD65" s="164"/>
      <c r="LE65" s="164"/>
      <c r="LF65" s="164"/>
      <c r="LG65" s="164"/>
      <c r="LH65" s="164"/>
      <c r="LI65" s="164"/>
      <c r="LJ65" s="164"/>
      <c r="LK65" s="164"/>
      <c r="LL65" s="164"/>
      <c r="LM65" s="164"/>
      <c r="LN65" s="164"/>
      <c r="LO65" s="164"/>
      <c r="LP65" s="164"/>
      <c r="LQ65" s="164"/>
      <c r="LR65" s="164"/>
      <c r="LS65" s="164"/>
      <c r="LT65" s="164"/>
      <c r="LU65" s="164"/>
      <c r="LV65" s="164"/>
      <c r="LW65" s="164"/>
      <c r="LX65" s="164"/>
      <c r="LY65" s="164"/>
      <c r="LZ65" s="164"/>
      <c r="MA65" s="164"/>
      <c r="MB65" s="164"/>
      <c r="MC65" s="164"/>
      <c r="MD65" s="164"/>
      <c r="ME65" s="164"/>
      <c r="MF65" s="164"/>
      <c r="MG65" s="164"/>
      <c r="MH65" s="164"/>
    </row>
    <row r="66" spans="1:346" s="165" customFormat="1" ht="16" x14ac:dyDescent="0.2">
      <c r="A66" s="166"/>
      <c r="B66" s="167"/>
      <c r="C66" s="166"/>
      <c r="D66" s="166"/>
      <c r="E66" s="166"/>
      <c r="F66" s="166"/>
      <c r="G66" s="166"/>
      <c r="H66" s="166"/>
      <c r="I66" s="166"/>
      <c r="J66" s="166"/>
      <c r="K66" s="166"/>
      <c r="L66" s="166"/>
      <c r="M66" s="166"/>
      <c r="N66" s="166"/>
      <c r="O66" s="166"/>
      <c r="P66" s="166"/>
      <c r="Q66" s="166"/>
      <c r="R66" s="164"/>
      <c r="S66" s="164"/>
      <c r="T66" s="164"/>
      <c r="U66" s="164"/>
      <c r="V66" s="164"/>
      <c r="W66" s="164"/>
      <c r="X66" s="164"/>
      <c r="Y66" s="164"/>
      <c r="Z66" s="164"/>
      <c r="AA66" s="164"/>
      <c r="AB66" s="164"/>
      <c r="AC66" s="164"/>
      <c r="AD66" s="164"/>
      <c r="AE66" s="164"/>
      <c r="AF66" s="164"/>
      <c r="AG66" s="164"/>
      <c r="AH66" s="164"/>
      <c r="AI66" s="164"/>
      <c r="AJ66" s="164"/>
      <c r="AK66" s="164"/>
      <c r="AL66" s="164"/>
      <c r="AM66" s="164"/>
      <c r="AN66" s="164"/>
      <c r="AO66" s="164"/>
      <c r="AP66" s="164"/>
      <c r="AQ66" s="164"/>
      <c r="AR66" s="164"/>
      <c r="AS66" s="164"/>
      <c r="AT66" s="164"/>
      <c r="AU66" s="164"/>
      <c r="AV66" s="164"/>
      <c r="AW66" s="164"/>
      <c r="AX66" s="164"/>
      <c r="AY66" s="164"/>
      <c r="AZ66" s="164"/>
      <c r="BA66" s="164"/>
      <c r="BB66" s="164"/>
      <c r="BC66" s="164"/>
      <c r="BD66" s="164"/>
      <c r="BE66" s="164"/>
      <c r="BF66" s="164"/>
      <c r="BG66" s="164"/>
      <c r="BH66" s="164"/>
      <c r="BI66" s="164"/>
      <c r="BJ66" s="164"/>
      <c r="BK66" s="164"/>
      <c r="BL66" s="164"/>
      <c r="BM66" s="164"/>
      <c r="BN66" s="164"/>
      <c r="BO66" s="164"/>
      <c r="BP66" s="164"/>
      <c r="BQ66" s="164"/>
      <c r="BR66" s="164"/>
      <c r="BS66" s="164"/>
      <c r="BT66" s="164"/>
      <c r="BU66" s="164"/>
      <c r="BV66" s="164"/>
      <c r="BW66" s="164"/>
      <c r="BX66" s="164"/>
      <c r="BY66" s="164"/>
      <c r="BZ66" s="164"/>
      <c r="CA66" s="164"/>
      <c r="CB66" s="164"/>
      <c r="CC66" s="164"/>
      <c r="CD66" s="164"/>
      <c r="CE66" s="164"/>
      <c r="CF66" s="164"/>
      <c r="CG66" s="164"/>
      <c r="CH66" s="164"/>
      <c r="CI66" s="164"/>
      <c r="CJ66" s="164"/>
      <c r="CK66" s="164"/>
      <c r="CL66" s="164"/>
      <c r="CM66" s="164"/>
      <c r="CN66" s="164"/>
      <c r="CO66" s="164"/>
      <c r="CP66" s="164"/>
      <c r="CQ66" s="164"/>
      <c r="CR66" s="164"/>
      <c r="CS66" s="164"/>
      <c r="CT66" s="164"/>
      <c r="CU66" s="164"/>
      <c r="CV66" s="164"/>
      <c r="CW66" s="164"/>
      <c r="CX66" s="164"/>
      <c r="CY66" s="164"/>
      <c r="CZ66" s="164"/>
      <c r="DA66" s="164"/>
      <c r="DB66" s="164"/>
      <c r="DC66" s="164"/>
      <c r="DD66" s="164"/>
      <c r="DE66" s="164"/>
      <c r="DF66" s="164"/>
      <c r="DG66" s="164"/>
      <c r="DH66" s="164"/>
      <c r="DI66" s="164"/>
      <c r="DJ66" s="164"/>
      <c r="DK66" s="164"/>
      <c r="DL66" s="164"/>
      <c r="DM66" s="164"/>
      <c r="DN66" s="164"/>
      <c r="DO66" s="164"/>
      <c r="DP66" s="164"/>
      <c r="DQ66" s="164"/>
      <c r="DR66" s="164"/>
      <c r="DS66" s="164"/>
      <c r="DT66" s="164"/>
      <c r="DU66" s="164"/>
      <c r="DV66" s="164"/>
      <c r="DW66" s="164"/>
      <c r="DX66" s="164"/>
      <c r="DY66" s="164"/>
      <c r="DZ66" s="164"/>
      <c r="EA66" s="164"/>
      <c r="EB66" s="164"/>
      <c r="EC66" s="164"/>
      <c r="ED66" s="164"/>
      <c r="EE66" s="164"/>
      <c r="EF66" s="164"/>
      <c r="EG66" s="164"/>
      <c r="EH66" s="164"/>
      <c r="EI66" s="164"/>
      <c r="EJ66" s="164"/>
      <c r="EK66" s="164"/>
      <c r="EL66" s="164"/>
      <c r="EM66" s="164"/>
      <c r="EN66" s="164"/>
      <c r="EO66" s="164"/>
      <c r="EP66" s="164"/>
      <c r="EQ66" s="164"/>
      <c r="ER66" s="164"/>
      <c r="ES66" s="164"/>
      <c r="ET66" s="164"/>
      <c r="EU66" s="164"/>
      <c r="EV66" s="164"/>
      <c r="EW66" s="164"/>
      <c r="EX66" s="164"/>
      <c r="EY66" s="164"/>
      <c r="EZ66" s="164"/>
      <c r="FA66" s="164"/>
      <c r="FB66" s="164"/>
      <c r="FC66" s="164"/>
      <c r="FD66" s="164"/>
      <c r="FE66" s="164"/>
      <c r="FF66" s="164"/>
      <c r="FG66" s="164"/>
      <c r="FH66" s="164"/>
      <c r="FI66" s="164"/>
      <c r="FJ66" s="164"/>
      <c r="FK66" s="164"/>
      <c r="FL66" s="164"/>
      <c r="FM66" s="164"/>
      <c r="FN66" s="164"/>
      <c r="FO66" s="164"/>
      <c r="FP66" s="164"/>
      <c r="FQ66" s="164"/>
      <c r="FR66" s="164"/>
      <c r="FS66" s="164"/>
      <c r="FT66" s="164"/>
      <c r="FU66" s="164"/>
      <c r="FV66" s="164"/>
      <c r="FW66" s="164"/>
      <c r="FX66" s="164"/>
      <c r="FY66" s="164"/>
      <c r="FZ66" s="164"/>
      <c r="GA66" s="164"/>
      <c r="GB66" s="164"/>
      <c r="GC66" s="164"/>
      <c r="GD66" s="164"/>
      <c r="GE66" s="164"/>
      <c r="GF66" s="164"/>
      <c r="GG66" s="164"/>
      <c r="GH66" s="164"/>
      <c r="GI66" s="164"/>
      <c r="GJ66" s="164"/>
      <c r="GK66" s="164"/>
      <c r="GL66" s="164"/>
      <c r="GM66" s="164"/>
      <c r="GN66" s="164"/>
      <c r="GO66" s="164"/>
      <c r="GP66" s="164"/>
      <c r="GQ66" s="164"/>
      <c r="GR66" s="164"/>
      <c r="GS66" s="164"/>
      <c r="GT66" s="164"/>
      <c r="GU66" s="164"/>
      <c r="GV66" s="164"/>
      <c r="GW66" s="164"/>
      <c r="GX66" s="164"/>
      <c r="GY66" s="164"/>
      <c r="GZ66" s="164"/>
      <c r="HA66" s="164"/>
      <c r="HB66" s="164"/>
      <c r="HC66" s="164"/>
      <c r="HD66" s="164"/>
      <c r="HE66" s="164"/>
      <c r="HF66" s="164"/>
      <c r="HG66" s="164"/>
      <c r="HH66" s="164"/>
      <c r="HI66" s="164"/>
      <c r="HJ66" s="164"/>
      <c r="HK66" s="164"/>
      <c r="HL66" s="164"/>
      <c r="HM66" s="164"/>
      <c r="HN66" s="164"/>
      <c r="HO66" s="164"/>
      <c r="HP66" s="164"/>
      <c r="HQ66" s="164"/>
      <c r="HR66" s="164"/>
      <c r="HS66" s="164"/>
      <c r="HT66" s="164"/>
      <c r="HU66" s="164"/>
      <c r="HV66" s="164"/>
      <c r="HW66" s="164"/>
      <c r="HX66" s="164"/>
      <c r="HY66" s="164"/>
      <c r="HZ66" s="164"/>
      <c r="IA66" s="164"/>
      <c r="IB66" s="164"/>
      <c r="IC66" s="164"/>
      <c r="ID66" s="164"/>
      <c r="IE66" s="164"/>
      <c r="IF66" s="164"/>
      <c r="IG66" s="164"/>
      <c r="IH66" s="164"/>
      <c r="II66" s="164"/>
      <c r="IJ66" s="164"/>
      <c r="IK66" s="164"/>
      <c r="IL66" s="164"/>
      <c r="IM66" s="164"/>
      <c r="IN66" s="164"/>
      <c r="IO66" s="164"/>
      <c r="IP66" s="164"/>
      <c r="IQ66" s="164"/>
      <c r="IR66" s="164"/>
      <c r="IS66" s="164"/>
      <c r="IT66" s="164"/>
      <c r="IU66" s="164"/>
      <c r="IV66" s="164"/>
      <c r="IW66" s="164"/>
      <c r="IX66" s="164"/>
      <c r="IY66" s="164"/>
      <c r="IZ66" s="164"/>
      <c r="JA66" s="164"/>
      <c r="JB66" s="164"/>
      <c r="JC66" s="164"/>
      <c r="JD66" s="164"/>
      <c r="JE66" s="164"/>
      <c r="JF66" s="164"/>
      <c r="JG66" s="164"/>
      <c r="JH66" s="164"/>
      <c r="JI66" s="164"/>
      <c r="JJ66" s="164"/>
      <c r="JK66" s="164"/>
      <c r="JL66" s="164"/>
      <c r="JM66" s="164"/>
      <c r="JN66" s="164"/>
      <c r="JO66" s="164"/>
      <c r="JP66" s="164"/>
      <c r="JQ66" s="164"/>
      <c r="JR66" s="164"/>
      <c r="JS66" s="164"/>
      <c r="JT66" s="164"/>
      <c r="JU66" s="164"/>
      <c r="JV66" s="164"/>
      <c r="JW66" s="164"/>
      <c r="JX66" s="164"/>
      <c r="JY66" s="164"/>
      <c r="JZ66" s="164"/>
      <c r="KA66" s="164"/>
      <c r="KB66" s="164"/>
      <c r="KC66" s="164"/>
      <c r="KD66" s="164"/>
      <c r="KE66" s="164"/>
      <c r="KF66" s="164"/>
      <c r="KG66" s="164"/>
      <c r="KH66" s="164"/>
      <c r="KI66" s="164"/>
      <c r="KJ66" s="164"/>
      <c r="KK66" s="164"/>
      <c r="KL66" s="164"/>
      <c r="KM66" s="164"/>
      <c r="KN66" s="164"/>
      <c r="KO66" s="164"/>
      <c r="KP66" s="164"/>
      <c r="KQ66" s="164"/>
      <c r="KR66" s="164"/>
      <c r="KS66" s="164"/>
      <c r="KT66" s="164"/>
      <c r="KU66" s="164"/>
      <c r="KV66" s="164"/>
      <c r="KW66" s="164"/>
      <c r="KX66" s="164"/>
      <c r="KY66" s="164"/>
      <c r="KZ66" s="164"/>
      <c r="LA66" s="164"/>
      <c r="LB66" s="164"/>
      <c r="LC66" s="164"/>
      <c r="LD66" s="164"/>
      <c r="LE66" s="164"/>
      <c r="LF66" s="164"/>
      <c r="LG66" s="164"/>
      <c r="LH66" s="164"/>
      <c r="LI66" s="164"/>
      <c r="LJ66" s="164"/>
      <c r="LK66" s="164"/>
      <c r="LL66" s="164"/>
      <c r="LM66" s="164"/>
      <c r="LN66" s="164"/>
      <c r="LO66" s="164"/>
      <c r="LP66" s="164"/>
      <c r="LQ66" s="164"/>
      <c r="LR66" s="164"/>
      <c r="LS66" s="164"/>
      <c r="LT66" s="164"/>
      <c r="LU66" s="164"/>
      <c r="LV66" s="164"/>
      <c r="LW66" s="164"/>
      <c r="LX66" s="164"/>
      <c r="LY66" s="164"/>
      <c r="LZ66" s="164"/>
      <c r="MA66" s="164"/>
      <c r="MB66" s="164"/>
      <c r="MC66" s="164"/>
      <c r="MD66" s="164"/>
      <c r="ME66" s="164"/>
      <c r="MF66" s="164"/>
      <c r="MG66" s="164"/>
      <c r="MH66" s="164"/>
    </row>
    <row r="67" spans="1:346" s="165" customFormat="1" ht="16" x14ac:dyDescent="0.2">
      <c r="A67" s="166"/>
      <c r="B67" s="167"/>
      <c r="C67" s="166"/>
      <c r="D67" s="166"/>
      <c r="E67" s="166"/>
      <c r="F67" s="166"/>
      <c r="G67" s="166"/>
      <c r="H67" s="166"/>
      <c r="I67" s="166"/>
      <c r="J67" s="166"/>
      <c r="K67" s="166"/>
      <c r="L67" s="166"/>
      <c r="M67" s="166"/>
      <c r="N67" s="166"/>
      <c r="O67" s="166"/>
      <c r="P67" s="166"/>
      <c r="Q67" s="166"/>
      <c r="R67" s="164"/>
      <c r="S67" s="164"/>
      <c r="T67" s="164"/>
      <c r="U67" s="164"/>
      <c r="V67" s="164"/>
      <c r="W67" s="164"/>
      <c r="X67" s="164"/>
      <c r="Y67" s="164"/>
      <c r="Z67" s="164"/>
      <c r="AA67" s="164"/>
      <c r="AB67" s="164"/>
      <c r="AC67" s="164"/>
      <c r="AD67" s="164"/>
      <c r="AE67" s="164"/>
      <c r="AF67" s="164"/>
      <c r="AG67" s="164"/>
      <c r="AH67" s="164"/>
      <c r="AI67" s="164"/>
      <c r="AJ67" s="164"/>
      <c r="AK67" s="164"/>
      <c r="AL67" s="164"/>
      <c r="AM67" s="164"/>
      <c r="AN67" s="164"/>
      <c r="AO67" s="164"/>
      <c r="AP67" s="164"/>
      <c r="AQ67" s="164"/>
      <c r="AR67" s="164"/>
      <c r="AS67" s="164"/>
      <c r="AT67" s="164"/>
      <c r="AU67" s="164"/>
      <c r="AV67" s="164"/>
      <c r="AW67" s="164"/>
      <c r="AX67" s="164"/>
      <c r="AY67" s="164"/>
      <c r="AZ67" s="164"/>
      <c r="BA67" s="164"/>
      <c r="BB67" s="164"/>
      <c r="BC67" s="164"/>
      <c r="BD67" s="164"/>
      <c r="BE67" s="164"/>
      <c r="BF67" s="164"/>
      <c r="BG67" s="164"/>
      <c r="BH67" s="164"/>
      <c r="BI67" s="164"/>
      <c r="BJ67" s="164"/>
      <c r="BK67" s="164"/>
      <c r="BL67" s="164"/>
      <c r="BM67" s="164"/>
      <c r="BN67" s="164"/>
      <c r="BO67" s="164"/>
      <c r="BP67" s="164"/>
      <c r="BQ67" s="164"/>
      <c r="BR67" s="164"/>
      <c r="BS67" s="164"/>
      <c r="BT67" s="164"/>
      <c r="BU67" s="164"/>
      <c r="BV67" s="164"/>
      <c r="BW67" s="164"/>
      <c r="BX67" s="164"/>
      <c r="BY67" s="164"/>
      <c r="BZ67" s="164"/>
      <c r="CA67" s="164"/>
      <c r="CB67" s="164"/>
      <c r="CC67" s="164"/>
      <c r="CD67" s="164"/>
      <c r="CE67" s="164"/>
      <c r="CF67" s="164"/>
      <c r="CG67" s="164"/>
      <c r="CH67" s="164"/>
      <c r="CI67" s="164"/>
      <c r="CJ67" s="164"/>
      <c r="CK67" s="164"/>
      <c r="CL67" s="164"/>
      <c r="CM67" s="164"/>
      <c r="CN67" s="164"/>
      <c r="CO67" s="164"/>
      <c r="CP67" s="164"/>
      <c r="CQ67" s="164"/>
      <c r="CR67" s="164"/>
      <c r="CS67" s="164"/>
      <c r="CT67" s="164"/>
      <c r="CU67" s="164"/>
      <c r="CV67" s="164"/>
      <c r="CW67" s="164"/>
      <c r="CX67" s="164"/>
      <c r="CY67" s="164"/>
      <c r="CZ67" s="164"/>
      <c r="DA67" s="164"/>
      <c r="DB67" s="164"/>
      <c r="DC67" s="164"/>
      <c r="DD67" s="164"/>
      <c r="DE67" s="164"/>
      <c r="DF67" s="164"/>
      <c r="DG67" s="164"/>
      <c r="DH67" s="164"/>
      <c r="DI67" s="164"/>
      <c r="DJ67" s="164"/>
      <c r="DK67" s="164"/>
      <c r="DL67" s="164"/>
      <c r="DM67" s="164"/>
      <c r="DN67" s="164"/>
      <c r="DO67" s="164"/>
      <c r="DP67" s="164"/>
      <c r="DQ67" s="164"/>
      <c r="DR67" s="164"/>
      <c r="DS67" s="164"/>
      <c r="DT67" s="164"/>
      <c r="DU67" s="164"/>
      <c r="DV67" s="164"/>
      <c r="DW67" s="164"/>
      <c r="DX67" s="164"/>
      <c r="DY67" s="164"/>
      <c r="DZ67" s="164"/>
      <c r="EA67" s="164"/>
      <c r="EB67" s="164"/>
      <c r="EC67" s="164"/>
      <c r="ED67" s="164"/>
      <c r="EE67" s="164"/>
      <c r="EF67" s="164"/>
      <c r="EG67" s="164"/>
      <c r="EH67" s="164"/>
      <c r="EI67" s="164"/>
      <c r="EJ67" s="164"/>
      <c r="EK67" s="164"/>
      <c r="EL67" s="164"/>
      <c r="EM67" s="164"/>
      <c r="EN67" s="164"/>
      <c r="EO67" s="164"/>
      <c r="EP67" s="164"/>
      <c r="EQ67" s="164"/>
      <c r="ER67" s="164"/>
      <c r="ES67" s="164"/>
      <c r="ET67" s="164"/>
      <c r="EU67" s="164"/>
      <c r="EV67" s="164"/>
      <c r="EW67" s="164"/>
      <c r="EX67" s="164"/>
      <c r="EY67" s="164"/>
      <c r="EZ67" s="164"/>
      <c r="FA67" s="164"/>
      <c r="FB67" s="164"/>
      <c r="FC67" s="164"/>
      <c r="FD67" s="164"/>
      <c r="FE67" s="164"/>
      <c r="FF67" s="164"/>
      <c r="FG67" s="164"/>
      <c r="FH67" s="164"/>
      <c r="FI67" s="164"/>
      <c r="FJ67" s="164"/>
      <c r="FK67" s="164"/>
      <c r="FL67" s="164"/>
      <c r="FM67" s="164"/>
      <c r="FN67" s="164"/>
      <c r="FO67" s="164"/>
      <c r="FP67" s="164"/>
      <c r="FQ67" s="164"/>
      <c r="FR67" s="164"/>
      <c r="FS67" s="164"/>
      <c r="FT67" s="164"/>
      <c r="FU67" s="164"/>
      <c r="FV67" s="164"/>
      <c r="FW67" s="164"/>
      <c r="FX67" s="164"/>
      <c r="FY67" s="164"/>
      <c r="FZ67" s="164"/>
      <c r="GA67" s="164"/>
      <c r="GB67" s="164"/>
      <c r="GC67" s="164"/>
      <c r="GD67" s="164"/>
      <c r="GE67" s="164"/>
      <c r="GF67" s="164"/>
      <c r="GG67" s="164"/>
      <c r="GH67" s="164"/>
      <c r="GI67" s="164"/>
      <c r="GJ67" s="164"/>
      <c r="GK67" s="164"/>
      <c r="GL67" s="164"/>
      <c r="GM67" s="164"/>
      <c r="GN67" s="164"/>
      <c r="GO67" s="164"/>
      <c r="GP67" s="164"/>
      <c r="GQ67" s="164"/>
      <c r="GR67" s="164"/>
      <c r="GS67" s="164"/>
      <c r="GT67" s="164"/>
      <c r="GU67" s="164"/>
      <c r="GV67" s="164"/>
      <c r="GW67" s="164"/>
      <c r="GX67" s="164"/>
      <c r="GY67" s="164"/>
      <c r="GZ67" s="164"/>
      <c r="HA67" s="164"/>
      <c r="HB67" s="164"/>
      <c r="HC67" s="164"/>
      <c r="HD67" s="164"/>
      <c r="HE67" s="164"/>
      <c r="HF67" s="164"/>
      <c r="HG67" s="164"/>
      <c r="HH67" s="164"/>
      <c r="HI67" s="164"/>
      <c r="HJ67" s="164"/>
      <c r="HK67" s="164"/>
      <c r="HL67" s="164"/>
      <c r="HM67" s="164"/>
      <c r="HN67" s="164"/>
      <c r="HO67" s="164"/>
      <c r="HP67" s="164"/>
      <c r="HQ67" s="164"/>
      <c r="HR67" s="164"/>
      <c r="HS67" s="164"/>
      <c r="HT67" s="164"/>
      <c r="HU67" s="164"/>
      <c r="HV67" s="164"/>
      <c r="HW67" s="164"/>
      <c r="HX67" s="164"/>
      <c r="HY67" s="164"/>
      <c r="HZ67" s="164"/>
      <c r="IA67" s="164"/>
      <c r="IB67" s="164"/>
      <c r="IC67" s="164"/>
      <c r="ID67" s="164"/>
      <c r="IE67" s="164"/>
      <c r="IF67" s="164"/>
      <c r="IG67" s="164"/>
      <c r="IH67" s="164"/>
      <c r="II67" s="164"/>
      <c r="IJ67" s="164"/>
      <c r="IK67" s="164"/>
      <c r="IL67" s="164"/>
      <c r="IM67" s="164"/>
      <c r="IN67" s="164"/>
      <c r="IO67" s="164"/>
      <c r="IP67" s="164"/>
      <c r="IQ67" s="164"/>
      <c r="IR67" s="164"/>
      <c r="IS67" s="164"/>
      <c r="IT67" s="164"/>
      <c r="IU67" s="164"/>
      <c r="IV67" s="164"/>
      <c r="IW67" s="164"/>
      <c r="IX67" s="164"/>
      <c r="IY67" s="164"/>
      <c r="IZ67" s="164"/>
      <c r="JA67" s="164"/>
      <c r="JB67" s="164"/>
      <c r="JC67" s="164"/>
      <c r="JD67" s="164"/>
      <c r="JE67" s="164"/>
      <c r="JF67" s="164"/>
      <c r="JG67" s="164"/>
      <c r="JH67" s="164"/>
      <c r="JI67" s="164"/>
      <c r="JJ67" s="164"/>
      <c r="JK67" s="164"/>
      <c r="JL67" s="164"/>
      <c r="JM67" s="164"/>
      <c r="JN67" s="164"/>
      <c r="JO67" s="164"/>
      <c r="JP67" s="164"/>
      <c r="JQ67" s="164"/>
      <c r="JR67" s="164"/>
      <c r="JS67" s="164"/>
      <c r="JT67" s="164"/>
      <c r="JU67" s="164"/>
      <c r="JV67" s="164"/>
      <c r="JW67" s="164"/>
      <c r="JX67" s="164"/>
      <c r="JY67" s="164"/>
      <c r="JZ67" s="164"/>
      <c r="KA67" s="164"/>
      <c r="KB67" s="164"/>
      <c r="KC67" s="164"/>
      <c r="KD67" s="164"/>
      <c r="KE67" s="164"/>
      <c r="KF67" s="164"/>
      <c r="KG67" s="164"/>
      <c r="KH67" s="164"/>
      <c r="KI67" s="164"/>
      <c r="KJ67" s="164"/>
      <c r="KK67" s="164"/>
      <c r="KL67" s="164"/>
      <c r="KM67" s="164"/>
      <c r="KN67" s="164"/>
      <c r="KO67" s="164"/>
      <c r="KP67" s="164"/>
      <c r="KQ67" s="164"/>
      <c r="KR67" s="164"/>
      <c r="KS67" s="164"/>
      <c r="KT67" s="164"/>
      <c r="KU67" s="164"/>
      <c r="KV67" s="164"/>
      <c r="KW67" s="164"/>
      <c r="KX67" s="164"/>
      <c r="KY67" s="164"/>
      <c r="KZ67" s="164"/>
      <c r="LA67" s="164"/>
      <c r="LB67" s="164"/>
      <c r="LC67" s="164"/>
      <c r="LD67" s="164"/>
      <c r="LE67" s="164"/>
      <c r="LF67" s="164"/>
      <c r="LG67" s="164"/>
      <c r="LH67" s="164"/>
      <c r="LI67" s="164"/>
      <c r="LJ67" s="164"/>
      <c r="LK67" s="164"/>
      <c r="LL67" s="164"/>
      <c r="LM67" s="164"/>
      <c r="LN67" s="164"/>
      <c r="LO67" s="164"/>
      <c r="LP67" s="164"/>
      <c r="LQ67" s="164"/>
      <c r="LR67" s="164"/>
      <c r="LS67" s="164"/>
      <c r="LT67" s="164"/>
      <c r="LU67" s="164"/>
      <c r="LV67" s="164"/>
      <c r="LW67" s="164"/>
      <c r="LX67" s="164"/>
      <c r="LY67" s="164"/>
      <c r="LZ67" s="164"/>
      <c r="MA67" s="164"/>
      <c r="MB67" s="164"/>
      <c r="MC67" s="164"/>
      <c r="MD67" s="164"/>
      <c r="ME67" s="164"/>
      <c r="MF67" s="164"/>
      <c r="MG67" s="164"/>
      <c r="MH67" s="164"/>
    </row>
    <row r="68" spans="1:346" s="165" customFormat="1" ht="16" x14ac:dyDescent="0.2">
      <c r="A68" s="158"/>
      <c r="B68" s="242" t="s">
        <v>274</v>
      </c>
      <c r="C68" s="242"/>
      <c r="D68" s="242"/>
      <c r="E68" s="242"/>
      <c r="F68" s="242"/>
      <c r="G68" s="242"/>
      <c r="H68" s="242"/>
      <c r="I68" s="242"/>
      <c r="J68" s="242"/>
      <c r="K68" s="242"/>
      <c r="L68" s="242"/>
      <c r="M68" s="242"/>
      <c r="N68" s="242"/>
      <c r="O68" s="242"/>
      <c r="P68" s="242"/>
      <c r="Q68" s="65"/>
      <c r="R68" s="164"/>
      <c r="S68" s="164"/>
      <c r="T68" s="164"/>
      <c r="U68" s="164"/>
      <c r="V68" s="164"/>
      <c r="W68" s="164"/>
      <c r="X68" s="164"/>
      <c r="Y68" s="164"/>
      <c r="Z68" s="164"/>
      <c r="AA68" s="164"/>
      <c r="AB68" s="164"/>
      <c r="AC68" s="164"/>
      <c r="AD68" s="164"/>
      <c r="AE68" s="164"/>
      <c r="AF68" s="164"/>
      <c r="AG68" s="164"/>
      <c r="AH68" s="164"/>
      <c r="AI68" s="164"/>
      <c r="AJ68" s="164"/>
      <c r="AK68" s="164"/>
      <c r="AL68" s="164"/>
      <c r="AM68" s="164"/>
      <c r="AN68" s="164"/>
      <c r="AO68" s="164"/>
      <c r="AP68" s="164"/>
      <c r="AQ68" s="164"/>
      <c r="AR68" s="164"/>
      <c r="AS68" s="164"/>
      <c r="AT68" s="164"/>
      <c r="AU68" s="164"/>
      <c r="AV68" s="164"/>
      <c r="AW68" s="164"/>
      <c r="AX68" s="164"/>
      <c r="AY68" s="164"/>
      <c r="AZ68" s="164"/>
      <c r="BA68" s="164"/>
      <c r="BB68" s="164"/>
      <c r="BC68" s="164"/>
      <c r="BD68" s="164"/>
      <c r="BE68" s="164"/>
      <c r="BF68" s="164"/>
      <c r="BG68" s="164"/>
      <c r="BH68" s="164"/>
      <c r="BI68" s="164"/>
      <c r="BJ68" s="164"/>
      <c r="BK68" s="164"/>
      <c r="BL68" s="164"/>
      <c r="BM68" s="164"/>
      <c r="BN68" s="164"/>
      <c r="BO68" s="164"/>
      <c r="BP68" s="164"/>
      <c r="BQ68" s="164"/>
      <c r="BR68" s="164"/>
      <c r="BS68" s="164"/>
      <c r="BT68" s="164"/>
      <c r="BU68" s="164"/>
      <c r="BV68" s="164"/>
      <c r="BW68" s="164"/>
      <c r="BX68" s="164"/>
      <c r="BY68" s="164"/>
      <c r="BZ68" s="164"/>
      <c r="CA68" s="164"/>
      <c r="CB68" s="164"/>
      <c r="CC68" s="164"/>
      <c r="CD68" s="164"/>
      <c r="CE68" s="164"/>
      <c r="CF68" s="164"/>
      <c r="CG68" s="164"/>
      <c r="CH68" s="164"/>
      <c r="CI68" s="164"/>
      <c r="CJ68" s="164"/>
      <c r="CK68" s="164"/>
      <c r="CL68" s="164"/>
      <c r="CM68" s="164"/>
      <c r="CN68" s="164"/>
      <c r="CO68" s="164"/>
      <c r="CP68" s="164"/>
      <c r="CQ68" s="164"/>
      <c r="CR68" s="164"/>
      <c r="CS68" s="164"/>
      <c r="CT68" s="164"/>
      <c r="CU68" s="164"/>
      <c r="CV68" s="164"/>
      <c r="CW68" s="164"/>
      <c r="CX68" s="164"/>
      <c r="CY68" s="164"/>
      <c r="CZ68" s="164"/>
      <c r="DA68" s="164"/>
      <c r="DB68" s="164"/>
      <c r="DC68" s="164"/>
      <c r="DD68" s="164"/>
      <c r="DE68" s="164"/>
      <c r="DF68" s="164"/>
      <c r="DG68" s="164"/>
      <c r="DH68" s="164"/>
      <c r="DI68" s="164"/>
      <c r="DJ68" s="164"/>
      <c r="DK68" s="164"/>
      <c r="DL68" s="164"/>
      <c r="DM68" s="164"/>
      <c r="DN68" s="164"/>
      <c r="DO68" s="164"/>
      <c r="DP68" s="164"/>
      <c r="DQ68" s="164"/>
      <c r="DR68" s="164"/>
      <c r="DS68" s="164"/>
      <c r="DT68" s="164"/>
      <c r="DU68" s="164"/>
      <c r="DV68" s="164"/>
      <c r="DW68" s="164"/>
      <c r="DX68" s="164"/>
      <c r="DY68" s="164"/>
      <c r="DZ68" s="164"/>
      <c r="EA68" s="164"/>
      <c r="EB68" s="164"/>
      <c r="EC68" s="164"/>
      <c r="ED68" s="164"/>
      <c r="EE68" s="164"/>
      <c r="EF68" s="164"/>
      <c r="EG68" s="164"/>
      <c r="EH68" s="164"/>
      <c r="EI68" s="164"/>
      <c r="EJ68" s="164"/>
      <c r="EK68" s="164"/>
      <c r="EL68" s="164"/>
      <c r="EM68" s="164"/>
      <c r="EN68" s="164"/>
      <c r="EO68" s="164"/>
      <c r="EP68" s="164"/>
      <c r="EQ68" s="164"/>
      <c r="ER68" s="164"/>
      <c r="ES68" s="164"/>
      <c r="ET68" s="164"/>
      <c r="EU68" s="164"/>
      <c r="EV68" s="164"/>
      <c r="EW68" s="164"/>
      <c r="EX68" s="164"/>
      <c r="EY68" s="164"/>
      <c r="EZ68" s="164"/>
      <c r="FA68" s="164"/>
      <c r="FB68" s="164"/>
      <c r="FC68" s="164"/>
      <c r="FD68" s="164"/>
      <c r="FE68" s="164"/>
      <c r="FF68" s="164"/>
      <c r="FG68" s="164"/>
      <c r="FH68" s="164"/>
      <c r="FI68" s="164"/>
      <c r="FJ68" s="164"/>
      <c r="FK68" s="164"/>
      <c r="FL68" s="164"/>
      <c r="FM68" s="164"/>
      <c r="FN68" s="164"/>
      <c r="FO68" s="164"/>
      <c r="FP68" s="164"/>
      <c r="FQ68" s="164"/>
      <c r="FR68" s="164"/>
      <c r="FS68" s="164"/>
      <c r="FT68" s="164"/>
      <c r="FU68" s="164"/>
      <c r="FV68" s="164"/>
      <c r="FW68" s="164"/>
      <c r="FX68" s="164"/>
      <c r="FY68" s="164"/>
      <c r="FZ68" s="164"/>
      <c r="GA68" s="164"/>
      <c r="GB68" s="164"/>
      <c r="GC68" s="164"/>
      <c r="GD68" s="164"/>
      <c r="GE68" s="164"/>
      <c r="GF68" s="164"/>
      <c r="GG68" s="164"/>
      <c r="GH68" s="164"/>
      <c r="GI68" s="164"/>
      <c r="GJ68" s="164"/>
      <c r="GK68" s="164"/>
      <c r="GL68" s="164"/>
      <c r="GM68" s="164"/>
      <c r="GN68" s="164"/>
      <c r="GO68" s="164"/>
      <c r="GP68" s="164"/>
      <c r="GQ68" s="164"/>
      <c r="GR68" s="164"/>
      <c r="GS68" s="164"/>
      <c r="GT68" s="164"/>
      <c r="GU68" s="164"/>
      <c r="GV68" s="164"/>
      <c r="GW68" s="164"/>
      <c r="GX68" s="164"/>
      <c r="GY68" s="164"/>
      <c r="GZ68" s="164"/>
      <c r="HA68" s="164"/>
      <c r="HB68" s="164"/>
      <c r="HC68" s="164"/>
      <c r="HD68" s="164"/>
      <c r="HE68" s="164"/>
      <c r="HF68" s="164"/>
      <c r="HG68" s="164"/>
      <c r="HH68" s="164"/>
      <c r="HI68" s="164"/>
      <c r="HJ68" s="164"/>
      <c r="HK68" s="164"/>
      <c r="HL68" s="164"/>
      <c r="HM68" s="164"/>
      <c r="HN68" s="164"/>
      <c r="HO68" s="164"/>
      <c r="HP68" s="164"/>
      <c r="HQ68" s="164"/>
      <c r="HR68" s="164"/>
      <c r="HS68" s="164"/>
      <c r="HT68" s="164"/>
      <c r="HU68" s="164"/>
      <c r="HV68" s="164"/>
      <c r="HW68" s="164"/>
      <c r="HX68" s="164"/>
      <c r="HY68" s="164"/>
      <c r="HZ68" s="164"/>
      <c r="IA68" s="164"/>
      <c r="IB68" s="164"/>
      <c r="IC68" s="164"/>
      <c r="ID68" s="164"/>
      <c r="IE68" s="164"/>
      <c r="IF68" s="164"/>
      <c r="IG68" s="164"/>
      <c r="IH68" s="164"/>
      <c r="II68" s="164"/>
      <c r="IJ68" s="164"/>
      <c r="IK68" s="164"/>
      <c r="IL68" s="164"/>
      <c r="IM68" s="164"/>
      <c r="IN68" s="164"/>
      <c r="IO68" s="164"/>
      <c r="IP68" s="164"/>
      <c r="IQ68" s="164"/>
      <c r="IR68" s="164"/>
      <c r="IS68" s="164"/>
      <c r="IT68" s="164"/>
      <c r="IU68" s="164"/>
      <c r="IV68" s="164"/>
      <c r="IW68" s="164"/>
      <c r="IX68" s="164"/>
      <c r="IY68" s="164"/>
      <c r="IZ68" s="164"/>
      <c r="JA68" s="164"/>
      <c r="JB68" s="164"/>
      <c r="JC68" s="164"/>
      <c r="JD68" s="164"/>
      <c r="JE68" s="164"/>
      <c r="JF68" s="164"/>
      <c r="JG68" s="164"/>
      <c r="JH68" s="164"/>
      <c r="JI68" s="164"/>
      <c r="JJ68" s="164"/>
      <c r="JK68" s="164"/>
      <c r="JL68" s="164"/>
      <c r="JM68" s="164"/>
      <c r="JN68" s="164"/>
      <c r="JO68" s="164"/>
      <c r="JP68" s="164"/>
      <c r="JQ68" s="164"/>
      <c r="JR68" s="164"/>
      <c r="JS68" s="164"/>
      <c r="JT68" s="164"/>
      <c r="JU68" s="164"/>
      <c r="JV68" s="164"/>
      <c r="JW68" s="164"/>
      <c r="JX68" s="164"/>
      <c r="JY68" s="164"/>
      <c r="JZ68" s="164"/>
      <c r="KA68" s="164"/>
      <c r="KB68" s="164"/>
      <c r="KC68" s="164"/>
      <c r="KD68" s="164"/>
      <c r="KE68" s="164"/>
      <c r="KF68" s="164"/>
      <c r="KG68" s="164"/>
      <c r="KH68" s="164"/>
      <c r="KI68" s="164"/>
      <c r="KJ68" s="164"/>
      <c r="KK68" s="164"/>
      <c r="KL68" s="164"/>
      <c r="KM68" s="164"/>
      <c r="KN68" s="164"/>
      <c r="KO68" s="164"/>
      <c r="KP68" s="164"/>
      <c r="KQ68" s="164"/>
      <c r="KR68" s="164"/>
      <c r="KS68" s="164"/>
      <c r="KT68" s="164"/>
      <c r="KU68" s="164"/>
      <c r="KV68" s="164"/>
      <c r="KW68" s="164"/>
      <c r="KX68" s="164"/>
      <c r="KY68" s="164"/>
      <c r="KZ68" s="164"/>
      <c r="LA68" s="164"/>
      <c r="LB68" s="164"/>
      <c r="LC68" s="164"/>
      <c r="LD68" s="164"/>
      <c r="LE68" s="164"/>
      <c r="LF68" s="164"/>
      <c r="LG68" s="164"/>
      <c r="LH68" s="164"/>
      <c r="LI68" s="164"/>
      <c r="LJ68" s="164"/>
      <c r="LK68" s="164"/>
      <c r="LL68" s="164"/>
      <c r="LM68" s="164"/>
      <c r="LN68" s="164"/>
      <c r="LO68" s="164"/>
      <c r="LP68" s="164"/>
      <c r="LQ68" s="164"/>
      <c r="LR68" s="164"/>
      <c r="LS68" s="164"/>
      <c r="LT68" s="164"/>
      <c r="LU68" s="164"/>
      <c r="LV68" s="164"/>
      <c r="LW68" s="164"/>
      <c r="LX68" s="164"/>
      <c r="LY68" s="164"/>
      <c r="LZ68" s="164"/>
      <c r="MA68" s="164"/>
      <c r="MB68" s="164"/>
      <c r="MC68" s="164"/>
      <c r="MD68" s="164"/>
      <c r="ME68" s="164"/>
      <c r="MF68" s="164"/>
      <c r="MG68" s="164"/>
      <c r="MH68" s="164"/>
    </row>
    <row r="69" spans="1:346" s="165" customFormat="1" ht="16" x14ac:dyDescent="0.2">
      <c r="A69" s="158"/>
      <c r="B69" s="242"/>
      <c r="C69" s="242"/>
      <c r="D69" s="242"/>
      <c r="E69" s="242"/>
      <c r="F69" s="242"/>
      <c r="G69" s="242"/>
      <c r="H69" s="242"/>
      <c r="I69" s="242"/>
      <c r="J69" s="242"/>
      <c r="K69" s="242"/>
      <c r="L69" s="242"/>
      <c r="M69" s="242"/>
      <c r="N69" s="242"/>
      <c r="O69" s="242"/>
      <c r="P69" s="242"/>
      <c r="Q69" s="65"/>
      <c r="R69" s="164"/>
      <c r="S69" s="164"/>
      <c r="T69" s="164"/>
      <c r="U69" s="164"/>
      <c r="V69" s="164"/>
      <c r="W69" s="164"/>
      <c r="X69" s="164"/>
      <c r="Y69" s="164"/>
      <c r="Z69" s="164"/>
      <c r="AA69" s="164"/>
      <c r="AB69" s="164"/>
      <c r="AC69" s="164"/>
      <c r="AD69" s="164"/>
      <c r="AE69" s="164"/>
      <c r="AF69" s="164"/>
      <c r="AG69" s="164"/>
      <c r="AH69" s="164"/>
      <c r="AI69" s="164"/>
      <c r="AJ69" s="164"/>
      <c r="AK69" s="164"/>
      <c r="AL69" s="164"/>
      <c r="AM69" s="164"/>
      <c r="AN69" s="164"/>
      <c r="AO69" s="164"/>
      <c r="AP69" s="164"/>
      <c r="AQ69" s="164"/>
      <c r="AR69" s="164"/>
      <c r="AS69" s="164"/>
      <c r="AT69" s="164"/>
      <c r="AU69" s="164"/>
      <c r="AV69" s="164"/>
      <c r="AW69" s="164"/>
      <c r="AX69" s="164"/>
      <c r="AY69" s="164"/>
      <c r="AZ69" s="164"/>
      <c r="BA69" s="164"/>
      <c r="BB69" s="164"/>
      <c r="BC69" s="164"/>
      <c r="BD69" s="164"/>
      <c r="BE69" s="164"/>
      <c r="BF69" s="164"/>
      <c r="BG69" s="164"/>
      <c r="BH69" s="164"/>
      <c r="BI69" s="164"/>
      <c r="BJ69" s="164"/>
      <c r="BK69" s="164"/>
      <c r="BL69" s="164"/>
      <c r="BM69" s="164"/>
      <c r="BN69" s="164"/>
      <c r="BO69" s="164"/>
      <c r="BP69" s="164"/>
      <c r="BQ69" s="164"/>
      <c r="BR69" s="164"/>
      <c r="BS69" s="164"/>
      <c r="BT69" s="164"/>
      <c r="BU69" s="164"/>
      <c r="BV69" s="164"/>
      <c r="BW69" s="164"/>
      <c r="BX69" s="164"/>
      <c r="BY69" s="164"/>
      <c r="BZ69" s="164"/>
      <c r="CA69" s="164"/>
      <c r="CB69" s="164"/>
      <c r="CC69" s="164"/>
      <c r="CD69" s="164"/>
      <c r="CE69" s="164"/>
      <c r="CF69" s="164"/>
      <c r="CG69" s="164"/>
      <c r="CH69" s="164"/>
      <c r="CI69" s="164"/>
      <c r="CJ69" s="164"/>
      <c r="CK69" s="164"/>
      <c r="CL69" s="164"/>
      <c r="CM69" s="164"/>
      <c r="CN69" s="164"/>
      <c r="CO69" s="164"/>
      <c r="CP69" s="164"/>
      <c r="CQ69" s="164"/>
      <c r="CR69" s="164"/>
      <c r="CS69" s="164"/>
      <c r="CT69" s="164"/>
      <c r="CU69" s="164"/>
      <c r="CV69" s="164"/>
      <c r="CW69" s="164"/>
      <c r="CX69" s="164"/>
      <c r="CY69" s="164"/>
      <c r="CZ69" s="164"/>
      <c r="DA69" s="164"/>
      <c r="DB69" s="164"/>
      <c r="DC69" s="164"/>
      <c r="DD69" s="164"/>
      <c r="DE69" s="164"/>
      <c r="DF69" s="164"/>
      <c r="DG69" s="164"/>
      <c r="DH69" s="164"/>
      <c r="DI69" s="164"/>
      <c r="DJ69" s="164"/>
      <c r="DK69" s="164"/>
      <c r="DL69" s="164"/>
      <c r="DM69" s="164"/>
      <c r="DN69" s="164"/>
      <c r="DO69" s="164"/>
      <c r="DP69" s="164"/>
      <c r="DQ69" s="164"/>
      <c r="DR69" s="164"/>
      <c r="DS69" s="164"/>
      <c r="DT69" s="164"/>
      <c r="DU69" s="164"/>
      <c r="DV69" s="164"/>
      <c r="DW69" s="164"/>
      <c r="DX69" s="164"/>
      <c r="DY69" s="164"/>
      <c r="DZ69" s="164"/>
      <c r="EA69" s="164"/>
      <c r="EB69" s="164"/>
      <c r="EC69" s="164"/>
      <c r="ED69" s="164"/>
      <c r="EE69" s="164"/>
      <c r="EF69" s="164"/>
      <c r="EG69" s="164"/>
      <c r="EH69" s="164"/>
      <c r="EI69" s="164"/>
      <c r="EJ69" s="164"/>
      <c r="EK69" s="164"/>
      <c r="EL69" s="164"/>
      <c r="EM69" s="164"/>
      <c r="EN69" s="164"/>
      <c r="EO69" s="164"/>
      <c r="EP69" s="164"/>
      <c r="EQ69" s="164"/>
      <c r="ER69" s="164"/>
      <c r="ES69" s="164"/>
      <c r="ET69" s="164"/>
      <c r="EU69" s="164"/>
      <c r="EV69" s="164"/>
      <c r="EW69" s="164"/>
      <c r="EX69" s="164"/>
      <c r="EY69" s="164"/>
      <c r="EZ69" s="164"/>
      <c r="FA69" s="164"/>
      <c r="FB69" s="164"/>
      <c r="FC69" s="164"/>
      <c r="FD69" s="164"/>
      <c r="FE69" s="164"/>
      <c r="FF69" s="164"/>
      <c r="FG69" s="164"/>
      <c r="FH69" s="164"/>
      <c r="FI69" s="164"/>
      <c r="FJ69" s="164"/>
      <c r="FK69" s="164"/>
      <c r="FL69" s="164"/>
      <c r="FM69" s="164"/>
      <c r="FN69" s="164"/>
      <c r="FO69" s="164"/>
      <c r="FP69" s="164"/>
      <c r="FQ69" s="164"/>
      <c r="FR69" s="164"/>
      <c r="FS69" s="164"/>
      <c r="FT69" s="164"/>
      <c r="FU69" s="164"/>
      <c r="FV69" s="164"/>
      <c r="FW69" s="164"/>
      <c r="FX69" s="164"/>
      <c r="FY69" s="164"/>
      <c r="FZ69" s="164"/>
      <c r="GA69" s="164"/>
      <c r="GB69" s="164"/>
      <c r="GC69" s="164"/>
      <c r="GD69" s="164"/>
      <c r="GE69" s="164"/>
      <c r="GF69" s="164"/>
      <c r="GG69" s="164"/>
      <c r="GH69" s="164"/>
      <c r="GI69" s="164"/>
      <c r="GJ69" s="164"/>
      <c r="GK69" s="164"/>
      <c r="GL69" s="164"/>
      <c r="GM69" s="164"/>
      <c r="GN69" s="164"/>
      <c r="GO69" s="164"/>
      <c r="GP69" s="164"/>
      <c r="GQ69" s="164"/>
      <c r="GR69" s="164"/>
      <c r="GS69" s="164"/>
      <c r="GT69" s="164"/>
      <c r="GU69" s="164"/>
      <c r="GV69" s="164"/>
      <c r="GW69" s="164"/>
      <c r="GX69" s="164"/>
      <c r="GY69" s="164"/>
      <c r="GZ69" s="164"/>
      <c r="HA69" s="164"/>
      <c r="HB69" s="164"/>
      <c r="HC69" s="164"/>
      <c r="HD69" s="164"/>
      <c r="HE69" s="164"/>
      <c r="HF69" s="164"/>
      <c r="HG69" s="164"/>
      <c r="HH69" s="164"/>
      <c r="HI69" s="164"/>
      <c r="HJ69" s="164"/>
      <c r="HK69" s="164"/>
      <c r="HL69" s="164"/>
      <c r="HM69" s="164"/>
      <c r="HN69" s="164"/>
      <c r="HO69" s="164"/>
      <c r="HP69" s="164"/>
      <c r="HQ69" s="164"/>
      <c r="HR69" s="164"/>
      <c r="HS69" s="164"/>
      <c r="HT69" s="164"/>
      <c r="HU69" s="164"/>
      <c r="HV69" s="164"/>
      <c r="HW69" s="164"/>
      <c r="HX69" s="164"/>
      <c r="HY69" s="164"/>
      <c r="HZ69" s="164"/>
      <c r="IA69" s="164"/>
      <c r="IB69" s="164"/>
      <c r="IC69" s="164"/>
      <c r="ID69" s="164"/>
      <c r="IE69" s="164"/>
      <c r="IF69" s="164"/>
      <c r="IG69" s="164"/>
      <c r="IH69" s="164"/>
      <c r="II69" s="164"/>
      <c r="IJ69" s="164"/>
      <c r="IK69" s="164"/>
      <c r="IL69" s="164"/>
      <c r="IM69" s="164"/>
      <c r="IN69" s="164"/>
      <c r="IO69" s="164"/>
      <c r="IP69" s="164"/>
      <c r="IQ69" s="164"/>
      <c r="IR69" s="164"/>
      <c r="IS69" s="164"/>
      <c r="IT69" s="164"/>
      <c r="IU69" s="164"/>
      <c r="IV69" s="164"/>
      <c r="IW69" s="164"/>
      <c r="IX69" s="164"/>
      <c r="IY69" s="164"/>
      <c r="IZ69" s="164"/>
      <c r="JA69" s="164"/>
      <c r="JB69" s="164"/>
      <c r="JC69" s="164"/>
      <c r="JD69" s="164"/>
      <c r="JE69" s="164"/>
      <c r="JF69" s="164"/>
      <c r="JG69" s="164"/>
      <c r="JH69" s="164"/>
      <c r="JI69" s="164"/>
      <c r="JJ69" s="164"/>
      <c r="JK69" s="164"/>
      <c r="JL69" s="164"/>
      <c r="JM69" s="164"/>
      <c r="JN69" s="164"/>
      <c r="JO69" s="164"/>
      <c r="JP69" s="164"/>
      <c r="JQ69" s="164"/>
      <c r="JR69" s="164"/>
      <c r="JS69" s="164"/>
      <c r="JT69" s="164"/>
      <c r="JU69" s="164"/>
      <c r="JV69" s="164"/>
      <c r="JW69" s="164"/>
      <c r="JX69" s="164"/>
      <c r="JY69" s="164"/>
      <c r="JZ69" s="164"/>
      <c r="KA69" s="164"/>
      <c r="KB69" s="164"/>
      <c r="KC69" s="164"/>
      <c r="KD69" s="164"/>
      <c r="KE69" s="164"/>
      <c r="KF69" s="164"/>
      <c r="KG69" s="164"/>
      <c r="KH69" s="164"/>
      <c r="KI69" s="164"/>
      <c r="KJ69" s="164"/>
      <c r="KK69" s="164"/>
      <c r="KL69" s="164"/>
      <c r="KM69" s="164"/>
      <c r="KN69" s="164"/>
      <c r="KO69" s="164"/>
      <c r="KP69" s="164"/>
      <c r="KQ69" s="164"/>
      <c r="KR69" s="164"/>
      <c r="KS69" s="164"/>
      <c r="KT69" s="164"/>
      <c r="KU69" s="164"/>
      <c r="KV69" s="164"/>
      <c r="KW69" s="164"/>
      <c r="KX69" s="164"/>
      <c r="KY69" s="164"/>
      <c r="KZ69" s="164"/>
      <c r="LA69" s="164"/>
      <c r="LB69" s="164"/>
      <c r="LC69" s="164"/>
      <c r="LD69" s="164"/>
      <c r="LE69" s="164"/>
      <c r="LF69" s="164"/>
      <c r="LG69" s="164"/>
      <c r="LH69" s="164"/>
      <c r="LI69" s="164"/>
      <c r="LJ69" s="164"/>
      <c r="LK69" s="164"/>
      <c r="LL69" s="164"/>
      <c r="LM69" s="164"/>
      <c r="LN69" s="164"/>
      <c r="LO69" s="164"/>
      <c r="LP69" s="164"/>
      <c r="LQ69" s="164"/>
      <c r="LR69" s="164"/>
      <c r="LS69" s="164"/>
      <c r="LT69" s="164"/>
      <c r="LU69" s="164"/>
      <c r="LV69" s="164"/>
      <c r="LW69" s="164"/>
      <c r="LX69" s="164"/>
      <c r="LY69" s="164"/>
      <c r="LZ69" s="164"/>
      <c r="MA69" s="164"/>
      <c r="MB69" s="164"/>
      <c r="MC69" s="164"/>
      <c r="MD69" s="164"/>
      <c r="ME69" s="164"/>
      <c r="MF69" s="164"/>
      <c r="MG69" s="164"/>
      <c r="MH69" s="164"/>
    </row>
    <row r="70" spans="1:346" s="165" customFormat="1" ht="16" x14ac:dyDescent="0.2">
      <c r="A70" s="158"/>
      <c r="B70" s="242"/>
      <c r="C70" s="242"/>
      <c r="D70" s="242"/>
      <c r="E70" s="242"/>
      <c r="F70" s="242"/>
      <c r="G70" s="242"/>
      <c r="H70" s="242"/>
      <c r="I70" s="242"/>
      <c r="J70" s="242"/>
      <c r="K70" s="242"/>
      <c r="L70" s="242"/>
      <c r="M70" s="242"/>
      <c r="N70" s="242"/>
      <c r="O70" s="242"/>
      <c r="P70" s="242"/>
      <c r="Q70" s="65"/>
      <c r="R70" s="164"/>
      <c r="S70" s="164"/>
      <c r="T70" s="164"/>
      <c r="U70" s="164"/>
      <c r="V70" s="164"/>
      <c r="W70" s="164"/>
      <c r="X70" s="164"/>
      <c r="Y70" s="164"/>
      <c r="Z70" s="164"/>
      <c r="AA70" s="164"/>
      <c r="AB70" s="164"/>
      <c r="AC70" s="164"/>
      <c r="AD70" s="164"/>
      <c r="AE70" s="164"/>
      <c r="AF70" s="164"/>
      <c r="AG70" s="164"/>
      <c r="AH70" s="164"/>
      <c r="AI70" s="164"/>
      <c r="AJ70" s="164"/>
      <c r="AK70" s="164"/>
      <c r="AL70" s="164"/>
      <c r="AM70" s="164"/>
      <c r="AN70" s="164"/>
      <c r="AO70" s="164"/>
      <c r="AP70" s="164"/>
      <c r="AQ70" s="164"/>
      <c r="AR70" s="164"/>
      <c r="AS70" s="164"/>
      <c r="AT70" s="164"/>
      <c r="AU70" s="164"/>
      <c r="AV70" s="164"/>
      <c r="AW70" s="164"/>
      <c r="AX70" s="164"/>
      <c r="AY70" s="164"/>
      <c r="AZ70" s="164"/>
      <c r="BA70" s="164"/>
      <c r="BB70" s="164"/>
      <c r="BC70" s="164"/>
      <c r="BD70" s="164"/>
      <c r="BE70" s="164"/>
      <c r="BF70" s="164"/>
      <c r="BG70" s="164"/>
      <c r="BH70" s="164"/>
      <c r="BI70" s="164"/>
      <c r="BJ70" s="164"/>
      <c r="BK70" s="164"/>
      <c r="BL70" s="164"/>
      <c r="BM70" s="164"/>
      <c r="BN70" s="164"/>
      <c r="BO70" s="164"/>
      <c r="BP70" s="164"/>
      <c r="BQ70" s="164"/>
      <c r="BR70" s="164"/>
      <c r="BS70" s="164"/>
      <c r="BT70" s="164"/>
      <c r="BU70" s="164"/>
      <c r="BV70" s="164"/>
      <c r="BW70" s="164"/>
      <c r="BX70" s="164"/>
      <c r="BY70" s="164"/>
      <c r="BZ70" s="164"/>
      <c r="CA70" s="164"/>
      <c r="CB70" s="164"/>
      <c r="CC70" s="164"/>
      <c r="CD70" s="164"/>
      <c r="CE70" s="164"/>
      <c r="CF70" s="164"/>
      <c r="CG70" s="164"/>
      <c r="CH70" s="164"/>
      <c r="CI70" s="164"/>
      <c r="CJ70" s="164"/>
      <c r="CK70" s="164"/>
      <c r="CL70" s="164"/>
      <c r="CM70" s="164"/>
      <c r="CN70" s="164"/>
      <c r="CO70" s="164"/>
      <c r="CP70" s="164"/>
      <c r="CQ70" s="164"/>
      <c r="CR70" s="164"/>
      <c r="CS70" s="164"/>
      <c r="CT70" s="164"/>
      <c r="CU70" s="164"/>
      <c r="CV70" s="164"/>
      <c r="CW70" s="164"/>
      <c r="CX70" s="164"/>
      <c r="CY70" s="164"/>
      <c r="CZ70" s="164"/>
      <c r="DA70" s="164"/>
      <c r="DB70" s="164"/>
      <c r="DC70" s="164"/>
      <c r="DD70" s="164"/>
      <c r="DE70" s="164"/>
      <c r="DF70" s="164"/>
      <c r="DG70" s="164"/>
      <c r="DH70" s="164"/>
      <c r="DI70" s="164"/>
      <c r="DJ70" s="164"/>
      <c r="DK70" s="164"/>
      <c r="DL70" s="164"/>
      <c r="DM70" s="164"/>
      <c r="DN70" s="164"/>
      <c r="DO70" s="164"/>
      <c r="DP70" s="164"/>
      <c r="DQ70" s="164"/>
      <c r="DR70" s="164"/>
      <c r="DS70" s="164"/>
      <c r="DT70" s="164"/>
      <c r="DU70" s="164"/>
      <c r="DV70" s="164"/>
      <c r="DW70" s="164"/>
      <c r="DX70" s="164"/>
      <c r="DY70" s="164"/>
      <c r="DZ70" s="164"/>
      <c r="EA70" s="164"/>
      <c r="EB70" s="164"/>
      <c r="EC70" s="164"/>
      <c r="ED70" s="164"/>
      <c r="EE70" s="164"/>
      <c r="EF70" s="164"/>
      <c r="EG70" s="164"/>
      <c r="EH70" s="164"/>
      <c r="EI70" s="164"/>
      <c r="EJ70" s="164"/>
      <c r="EK70" s="164"/>
      <c r="EL70" s="164"/>
      <c r="EM70" s="164"/>
      <c r="EN70" s="164"/>
      <c r="EO70" s="164"/>
      <c r="EP70" s="164"/>
      <c r="EQ70" s="164"/>
      <c r="ER70" s="164"/>
      <c r="ES70" s="164"/>
      <c r="ET70" s="164"/>
      <c r="EU70" s="164"/>
      <c r="EV70" s="164"/>
      <c r="EW70" s="164"/>
      <c r="EX70" s="164"/>
      <c r="EY70" s="164"/>
      <c r="EZ70" s="164"/>
      <c r="FA70" s="164"/>
      <c r="FB70" s="164"/>
      <c r="FC70" s="164"/>
      <c r="FD70" s="164"/>
      <c r="FE70" s="164"/>
      <c r="FF70" s="164"/>
      <c r="FG70" s="164"/>
      <c r="FH70" s="164"/>
      <c r="FI70" s="164"/>
      <c r="FJ70" s="164"/>
      <c r="FK70" s="164"/>
      <c r="FL70" s="164"/>
      <c r="FM70" s="164"/>
      <c r="FN70" s="164"/>
      <c r="FO70" s="164"/>
      <c r="FP70" s="164"/>
      <c r="FQ70" s="164"/>
      <c r="FR70" s="164"/>
      <c r="FS70" s="164"/>
      <c r="FT70" s="164"/>
      <c r="FU70" s="164"/>
      <c r="FV70" s="164"/>
      <c r="FW70" s="164"/>
      <c r="FX70" s="164"/>
      <c r="FY70" s="164"/>
      <c r="FZ70" s="164"/>
      <c r="GA70" s="164"/>
      <c r="GB70" s="164"/>
      <c r="GC70" s="164"/>
      <c r="GD70" s="164"/>
      <c r="GE70" s="164"/>
      <c r="GF70" s="164"/>
      <c r="GG70" s="164"/>
      <c r="GH70" s="164"/>
      <c r="GI70" s="164"/>
      <c r="GJ70" s="164"/>
      <c r="GK70" s="164"/>
      <c r="GL70" s="164"/>
      <c r="GM70" s="164"/>
      <c r="GN70" s="164"/>
      <c r="GO70" s="164"/>
      <c r="GP70" s="164"/>
      <c r="GQ70" s="164"/>
      <c r="GR70" s="164"/>
      <c r="GS70" s="164"/>
      <c r="GT70" s="164"/>
      <c r="GU70" s="164"/>
      <c r="GV70" s="164"/>
      <c r="GW70" s="164"/>
      <c r="GX70" s="164"/>
      <c r="GY70" s="164"/>
      <c r="GZ70" s="164"/>
      <c r="HA70" s="164"/>
      <c r="HB70" s="164"/>
      <c r="HC70" s="164"/>
      <c r="HD70" s="164"/>
      <c r="HE70" s="164"/>
      <c r="HF70" s="164"/>
      <c r="HG70" s="164"/>
      <c r="HH70" s="164"/>
      <c r="HI70" s="164"/>
      <c r="HJ70" s="164"/>
      <c r="HK70" s="164"/>
      <c r="HL70" s="164"/>
      <c r="HM70" s="164"/>
      <c r="HN70" s="164"/>
      <c r="HO70" s="164"/>
      <c r="HP70" s="164"/>
      <c r="HQ70" s="164"/>
      <c r="HR70" s="164"/>
      <c r="HS70" s="164"/>
      <c r="HT70" s="164"/>
      <c r="HU70" s="164"/>
      <c r="HV70" s="164"/>
      <c r="HW70" s="164"/>
      <c r="HX70" s="164"/>
      <c r="HY70" s="164"/>
      <c r="HZ70" s="164"/>
      <c r="IA70" s="164"/>
      <c r="IB70" s="164"/>
      <c r="IC70" s="164"/>
      <c r="ID70" s="164"/>
      <c r="IE70" s="164"/>
      <c r="IF70" s="164"/>
      <c r="IG70" s="164"/>
      <c r="IH70" s="164"/>
      <c r="II70" s="164"/>
      <c r="IJ70" s="164"/>
      <c r="IK70" s="164"/>
      <c r="IL70" s="164"/>
      <c r="IM70" s="164"/>
      <c r="IN70" s="164"/>
      <c r="IO70" s="164"/>
      <c r="IP70" s="164"/>
      <c r="IQ70" s="164"/>
      <c r="IR70" s="164"/>
      <c r="IS70" s="164"/>
      <c r="IT70" s="164"/>
      <c r="IU70" s="164"/>
      <c r="IV70" s="164"/>
      <c r="IW70" s="164"/>
      <c r="IX70" s="164"/>
      <c r="IY70" s="164"/>
      <c r="IZ70" s="164"/>
      <c r="JA70" s="164"/>
      <c r="JB70" s="164"/>
      <c r="JC70" s="164"/>
      <c r="JD70" s="164"/>
      <c r="JE70" s="164"/>
      <c r="JF70" s="164"/>
      <c r="JG70" s="164"/>
      <c r="JH70" s="164"/>
      <c r="JI70" s="164"/>
      <c r="JJ70" s="164"/>
      <c r="JK70" s="164"/>
      <c r="JL70" s="164"/>
      <c r="JM70" s="164"/>
      <c r="JN70" s="164"/>
      <c r="JO70" s="164"/>
      <c r="JP70" s="164"/>
      <c r="JQ70" s="164"/>
      <c r="JR70" s="164"/>
      <c r="JS70" s="164"/>
      <c r="JT70" s="164"/>
      <c r="JU70" s="164"/>
      <c r="JV70" s="164"/>
      <c r="JW70" s="164"/>
      <c r="JX70" s="164"/>
      <c r="JY70" s="164"/>
      <c r="JZ70" s="164"/>
      <c r="KA70" s="164"/>
      <c r="KB70" s="164"/>
      <c r="KC70" s="164"/>
      <c r="KD70" s="164"/>
      <c r="KE70" s="164"/>
      <c r="KF70" s="164"/>
      <c r="KG70" s="164"/>
      <c r="KH70" s="164"/>
      <c r="KI70" s="164"/>
      <c r="KJ70" s="164"/>
      <c r="KK70" s="164"/>
      <c r="KL70" s="164"/>
      <c r="KM70" s="164"/>
      <c r="KN70" s="164"/>
      <c r="KO70" s="164"/>
      <c r="KP70" s="164"/>
      <c r="KQ70" s="164"/>
      <c r="KR70" s="164"/>
      <c r="KS70" s="164"/>
      <c r="KT70" s="164"/>
      <c r="KU70" s="164"/>
      <c r="KV70" s="164"/>
      <c r="KW70" s="164"/>
      <c r="KX70" s="164"/>
      <c r="KY70" s="164"/>
      <c r="KZ70" s="164"/>
      <c r="LA70" s="164"/>
      <c r="LB70" s="164"/>
      <c r="LC70" s="164"/>
      <c r="LD70" s="164"/>
      <c r="LE70" s="164"/>
      <c r="LF70" s="164"/>
      <c r="LG70" s="164"/>
      <c r="LH70" s="164"/>
      <c r="LI70" s="164"/>
      <c r="LJ70" s="164"/>
      <c r="LK70" s="164"/>
      <c r="LL70" s="164"/>
      <c r="LM70" s="164"/>
      <c r="LN70" s="164"/>
      <c r="LO70" s="164"/>
      <c r="LP70" s="164"/>
      <c r="LQ70" s="164"/>
      <c r="LR70" s="164"/>
      <c r="LS70" s="164"/>
      <c r="LT70" s="164"/>
      <c r="LU70" s="164"/>
      <c r="LV70" s="164"/>
      <c r="LW70" s="164"/>
      <c r="LX70" s="164"/>
      <c r="LY70" s="164"/>
      <c r="LZ70" s="164"/>
      <c r="MA70" s="164"/>
      <c r="MB70" s="164"/>
      <c r="MC70" s="164"/>
      <c r="MD70" s="164"/>
      <c r="ME70" s="164"/>
      <c r="MF70" s="164"/>
      <c r="MG70" s="164"/>
      <c r="MH70" s="164"/>
    </row>
    <row r="71" spans="1:346" s="165" customFormat="1" ht="16" x14ac:dyDescent="0.2">
      <c r="A71" s="158"/>
      <c r="B71" s="130" t="s">
        <v>216</v>
      </c>
      <c r="C71" s="158"/>
      <c r="D71" s="158"/>
      <c r="E71" s="158"/>
      <c r="F71" s="158"/>
      <c r="G71" s="158"/>
      <c r="H71" s="158"/>
      <c r="I71" s="158"/>
      <c r="J71" s="158"/>
      <c r="K71" s="158"/>
      <c r="L71" s="158"/>
      <c r="M71" s="158"/>
      <c r="N71" s="158"/>
      <c r="O71" s="158"/>
      <c r="P71" s="158"/>
      <c r="Q71" s="65"/>
      <c r="R71" s="164"/>
      <c r="S71" s="164"/>
      <c r="T71" s="164"/>
      <c r="U71" s="164"/>
      <c r="V71" s="164"/>
      <c r="W71" s="164"/>
      <c r="X71" s="164"/>
      <c r="Y71" s="164"/>
      <c r="Z71" s="164"/>
      <c r="AA71" s="164"/>
      <c r="AB71" s="164"/>
      <c r="AC71" s="164"/>
      <c r="AD71" s="164"/>
      <c r="AE71" s="164"/>
      <c r="AF71" s="164"/>
      <c r="AG71" s="164"/>
      <c r="AH71" s="164"/>
      <c r="AI71" s="164"/>
      <c r="AJ71" s="164"/>
      <c r="AK71" s="164"/>
      <c r="AL71" s="164"/>
      <c r="AM71" s="164"/>
      <c r="AN71" s="164"/>
      <c r="AO71" s="164"/>
      <c r="AP71" s="164"/>
      <c r="AQ71" s="164"/>
      <c r="AR71" s="164"/>
      <c r="AS71" s="164"/>
      <c r="AT71" s="164"/>
      <c r="AU71" s="164"/>
      <c r="AV71" s="164"/>
      <c r="AW71" s="164"/>
      <c r="AX71" s="164"/>
      <c r="AY71" s="164"/>
      <c r="AZ71" s="164"/>
      <c r="BA71" s="164"/>
      <c r="BB71" s="164"/>
      <c r="BC71" s="164"/>
      <c r="BD71" s="164"/>
      <c r="BE71" s="164"/>
      <c r="BF71" s="164"/>
      <c r="BG71" s="164"/>
      <c r="BH71" s="164"/>
      <c r="BI71" s="164"/>
      <c r="BJ71" s="164"/>
      <c r="BK71" s="164"/>
      <c r="BL71" s="164"/>
      <c r="BM71" s="164"/>
      <c r="BN71" s="164"/>
      <c r="BO71" s="164"/>
      <c r="BP71" s="164"/>
      <c r="BQ71" s="164"/>
      <c r="BR71" s="164"/>
      <c r="BS71" s="164"/>
      <c r="BT71" s="164"/>
      <c r="BU71" s="164"/>
      <c r="BV71" s="164"/>
      <c r="BW71" s="164"/>
      <c r="BX71" s="164"/>
      <c r="BY71" s="164"/>
      <c r="BZ71" s="164"/>
      <c r="CA71" s="164"/>
      <c r="CB71" s="164"/>
      <c r="CC71" s="164"/>
      <c r="CD71" s="164"/>
      <c r="CE71" s="164"/>
      <c r="CF71" s="164"/>
      <c r="CG71" s="164"/>
      <c r="CH71" s="164"/>
      <c r="CI71" s="164"/>
      <c r="CJ71" s="164"/>
      <c r="CK71" s="164"/>
      <c r="CL71" s="164"/>
      <c r="CM71" s="164"/>
      <c r="CN71" s="164"/>
      <c r="CO71" s="164"/>
      <c r="CP71" s="164"/>
      <c r="CQ71" s="164"/>
      <c r="CR71" s="164"/>
      <c r="CS71" s="164"/>
      <c r="CT71" s="164"/>
      <c r="CU71" s="164"/>
      <c r="CV71" s="164"/>
      <c r="CW71" s="164"/>
      <c r="CX71" s="164"/>
      <c r="CY71" s="164"/>
      <c r="CZ71" s="164"/>
      <c r="DA71" s="164"/>
      <c r="DB71" s="164"/>
      <c r="DC71" s="164"/>
      <c r="DD71" s="164"/>
      <c r="DE71" s="164"/>
      <c r="DF71" s="164"/>
      <c r="DG71" s="164"/>
      <c r="DH71" s="164"/>
      <c r="DI71" s="164"/>
      <c r="DJ71" s="164"/>
      <c r="DK71" s="164"/>
      <c r="DL71" s="164"/>
      <c r="DM71" s="164"/>
      <c r="DN71" s="164"/>
      <c r="DO71" s="164"/>
      <c r="DP71" s="164"/>
      <c r="DQ71" s="164"/>
      <c r="DR71" s="164"/>
      <c r="DS71" s="164"/>
      <c r="DT71" s="164"/>
      <c r="DU71" s="164"/>
      <c r="DV71" s="164"/>
      <c r="DW71" s="164"/>
      <c r="DX71" s="164"/>
      <c r="DY71" s="164"/>
      <c r="DZ71" s="164"/>
      <c r="EA71" s="164"/>
      <c r="EB71" s="164"/>
      <c r="EC71" s="164"/>
      <c r="ED71" s="164"/>
      <c r="EE71" s="164"/>
      <c r="EF71" s="164"/>
      <c r="EG71" s="164"/>
      <c r="EH71" s="164"/>
      <c r="EI71" s="164"/>
      <c r="EJ71" s="164"/>
      <c r="EK71" s="164"/>
      <c r="EL71" s="164"/>
      <c r="EM71" s="164"/>
      <c r="EN71" s="164"/>
      <c r="EO71" s="164"/>
      <c r="EP71" s="164"/>
      <c r="EQ71" s="164"/>
      <c r="ER71" s="164"/>
      <c r="ES71" s="164"/>
      <c r="ET71" s="164"/>
      <c r="EU71" s="164"/>
      <c r="EV71" s="164"/>
      <c r="EW71" s="164"/>
      <c r="EX71" s="164"/>
      <c r="EY71" s="164"/>
      <c r="EZ71" s="164"/>
      <c r="FA71" s="164"/>
      <c r="FB71" s="164"/>
      <c r="FC71" s="164"/>
      <c r="FD71" s="164"/>
      <c r="FE71" s="164"/>
      <c r="FF71" s="164"/>
      <c r="FG71" s="164"/>
      <c r="FH71" s="164"/>
      <c r="FI71" s="164"/>
      <c r="FJ71" s="164"/>
      <c r="FK71" s="164"/>
      <c r="FL71" s="164"/>
      <c r="FM71" s="164"/>
      <c r="FN71" s="164"/>
      <c r="FO71" s="164"/>
      <c r="FP71" s="164"/>
      <c r="FQ71" s="164"/>
      <c r="FR71" s="164"/>
      <c r="FS71" s="164"/>
      <c r="FT71" s="164"/>
      <c r="FU71" s="164"/>
      <c r="FV71" s="164"/>
      <c r="FW71" s="164"/>
      <c r="FX71" s="164"/>
      <c r="FY71" s="164"/>
      <c r="FZ71" s="164"/>
      <c r="GA71" s="164"/>
      <c r="GB71" s="164"/>
      <c r="GC71" s="164"/>
      <c r="GD71" s="164"/>
      <c r="GE71" s="164"/>
      <c r="GF71" s="164"/>
      <c r="GG71" s="164"/>
      <c r="GH71" s="164"/>
      <c r="GI71" s="164"/>
      <c r="GJ71" s="164"/>
      <c r="GK71" s="164"/>
      <c r="GL71" s="164"/>
      <c r="GM71" s="164"/>
      <c r="GN71" s="164"/>
      <c r="GO71" s="164"/>
      <c r="GP71" s="164"/>
      <c r="GQ71" s="164"/>
      <c r="GR71" s="164"/>
      <c r="GS71" s="164"/>
      <c r="GT71" s="164"/>
      <c r="GU71" s="164"/>
      <c r="GV71" s="164"/>
      <c r="GW71" s="164"/>
      <c r="GX71" s="164"/>
      <c r="GY71" s="164"/>
      <c r="GZ71" s="164"/>
      <c r="HA71" s="164"/>
      <c r="HB71" s="164"/>
      <c r="HC71" s="164"/>
      <c r="HD71" s="164"/>
      <c r="HE71" s="164"/>
      <c r="HF71" s="164"/>
      <c r="HG71" s="164"/>
      <c r="HH71" s="164"/>
      <c r="HI71" s="164"/>
      <c r="HJ71" s="164"/>
      <c r="HK71" s="164"/>
      <c r="HL71" s="164"/>
      <c r="HM71" s="164"/>
      <c r="HN71" s="164"/>
      <c r="HO71" s="164"/>
      <c r="HP71" s="164"/>
      <c r="HQ71" s="164"/>
      <c r="HR71" s="164"/>
      <c r="HS71" s="164"/>
      <c r="HT71" s="164"/>
      <c r="HU71" s="164"/>
      <c r="HV71" s="164"/>
      <c r="HW71" s="164"/>
      <c r="HX71" s="164"/>
      <c r="HY71" s="164"/>
      <c r="HZ71" s="164"/>
      <c r="IA71" s="164"/>
      <c r="IB71" s="164"/>
      <c r="IC71" s="164"/>
      <c r="ID71" s="164"/>
      <c r="IE71" s="164"/>
      <c r="IF71" s="164"/>
      <c r="IG71" s="164"/>
      <c r="IH71" s="164"/>
      <c r="II71" s="164"/>
      <c r="IJ71" s="164"/>
      <c r="IK71" s="164"/>
      <c r="IL71" s="164"/>
      <c r="IM71" s="164"/>
      <c r="IN71" s="164"/>
      <c r="IO71" s="164"/>
      <c r="IP71" s="164"/>
      <c r="IQ71" s="164"/>
      <c r="IR71" s="164"/>
      <c r="IS71" s="164"/>
      <c r="IT71" s="164"/>
      <c r="IU71" s="164"/>
      <c r="IV71" s="164"/>
      <c r="IW71" s="164"/>
      <c r="IX71" s="164"/>
      <c r="IY71" s="164"/>
      <c r="IZ71" s="164"/>
      <c r="JA71" s="164"/>
      <c r="JB71" s="164"/>
      <c r="JC71" s="164"/>
      <c r="JD71" s="164"/>
      <c r="JE71" s="164"/>
      <c r="JF71" s="164"/>
      <c r="JG71" s="164"/>
      <c r="JH71" s="164"/>
      <c r="JI71" s="164"/>
      <c r="JJ71" s="164"/>
      <c r="JK71" s="164"/>
      <c r="JL71" s="164"/>
      <c r="JM71" s="164"/>
      <c r="JN71" s="164"/>
      <c r="JO71" s="164"/>
      <c r="JP71" s="164"/>
      <c r="JQ71" s="164"/>
      <c r="JR71" s="164"/>
      <c r="JS71" s="164"/>
      <c r="JT71" s="164"/>
      <c r="JU71" s="164"/>
      <c r="JV71" s="164"/>
      <c r="JW71" s="164"/>
      <c r="JX71" s="164"/>
      <c r="JY71" s="164"/>
      <c r="JZ71" s="164"/>
      <c r="KA71" s="164"/>
      <c r="KB71" s="164"/>
      <c r="KC71" s="164"/>
      <c r="KD71" s="164"/>
      <c r="KE71" s="164"/>
      <c r="KF71" s="164"/>
      <c r="KG71" s="164"/>
      <c r="KH71" s="164"/>
      <c r="KI71" s="164"/>
      <c r="KJ71" s="164"/>
      <c r="KK71" s="164"/>
      <c r="KL71" s="164"/>
      <c r="KM71" s="164"/>
      <c r="KN71" s="164"/>
      <c r="KO71" s="164"/>
      <c r="KP71" s="164"/>
      <c r="KQ71" s="164"/>
      <c r="KR71" s="164"/>
      <c r="KS71" s="164"/>
      <c r="KT71" s="164"/>
      <c r="KU71" s="164"/>
      <c r="KV71" s="164"/>
      <c r="KW71" s="164"/>
      <c r="KX71" s="164"/>
      <c r="KY71" s="164"/>
      <c r="KZ71" s="164"/>
      <c r="LA71" s="164"/>
      <c r="LB71" s="164"/>
      <c r="LC71" s="164"/>
      <c r="LD71" s="164"/>
      <c r="LE71" s="164"/>
      <c r="LF71" s="164"/>
      <c r="LG71" s="164"/>
      <c r="LH71" s="164"/>
      <c r="LI71" s="164"/>
      <c r="LJ71" s="164"/>
      <c r="LK71" s="164"/>
      <c r="LL71" s="164"/>
      <c r="LM71" s="164"/>
      <c r="LN71" s="164"/>
      <c r="LO71" s="164"/>
      <c r="LP71" s="164"/>
      <c r="LQ71" s="164"/>
      <c r="LR71" s="164"/>
      <c r="LS71" s="164"/>
      <c r="LT71" s="164"/>
      <c r="LU71" s="164"/>
      <c r="LV71" s="164"/>
      <c r="LW71" s="164"/>
      <c r="LX71" s="164"/>
      <c r="LY71" s="164"/>
      <c r="LZ71" s="164"/>
      <c r="MA71" s="164"/>
      <c r="MB71" s="164"/>
      <c r="MC71" s="164"/>
      <c r="MD71" s="164"/>
      <c r="ME71" s="164"/>
      <c r="MF71" s="164"/>
      <c r="MG71" s="164"/>
      <c r="MH71" s="164"/>
    </row>
    <row r="72" spans="1:346" x14ac:dyDescent="0.2">
      <c r="A72" s="65"/>
      <c r="B72" s="65"/>
      <c r="C72" s="65"/>
      <c r="D72" s="65"/>
      <c r="E72" s="65"/>
      <c r="F72" s="65"/>
      <c r="G72" s="65"/>
      <c r="H72" s="65"/>
      <c r="I72" s="65"/>
      <c r="J72" s="65"/>
      <c r="K72" s="65"/>
      <c r="L72" s="65"/>
      <c r="M72" s="65"/>
      <c r="N72" s="65"/>
      <c r="O72" s="65"/>
      <c r="P72" s="65"/>
      <c r="Q72" s="65"/>
    </row>
    <row r="73" spans="1:346" s="81" customFormat="1" x14ac:dyDescent="0.2"/>
    <row r="74" spans="1:346" s="81" customFormat="1" x14ac:dyDescent="0.2"/>
    <row r="75" spans="1:346" s="81" customFormat="1" x14ac:dyDescent="0.2"/>
    <row r="76" spans="1:346" s="81" customFormat="1" x14ac:dyDescent="0.2"/>
    <row r="77" spans="1:346" s="81" customFormat="1" x14ac:dyDescent="0.2"/>
    <row r="78" spans="1:346" s="81" customFormat="1" x14ac:dyDescent="0.2"/>
    <row r="79" spans="1:346" s="81" customFormat="1" x14ac:dyDescent="0.2"/>
    <row r="80" spans="1:346" s="81" customFormat="1" x14ac:dyDescent="0.2"/>
    <row r="81" s="81" customFormat="1" x14ac:dyDescent="0.2"/>
    <row r="82" s="81" customFormat="1" x14ac:dyDescent="0.2"/>
    <row r="83" s="81" customFormat="1" x14ac:dyDescent="0.2"/>
    <row r="84" s="81" customFormat="1" x14ac:dyDescent="0.2"/>
    <row r="85" s="81" customFormat="1" x14ac:dyDescent="0.2"/>
    <row r="86" s="81" customFormat="1" x14ac:dyDescent="0.2"/>
    <row r="87" s="81" customFormat="1" x14ac:dyDescent="0.2"/>
    <row r="88" s="81" customFormat="1" x14ac:dyDescent="0.2"/>
    <row r="89" s="81" customFormat="1" x14ac:dyDescent="0.2"/>
    <row r="90" s="81" customFormat="1" x14ac:dyDescent="0.2"/>
    <row r="91" s="81" customFormat="1" x14ac:dyDescent="0.2"/>
    <row r="92" s="81" customFormat="1" x14ac:dyDescent="0.2"/>
    <row r="93" s="81" customFormat="1" x14ac:dyDescent="0.2"/>
    <row r="94" s="81" customFormat="1" x14ac:dyDescent="0.2"/>
    <row r="95" s="81" customFormat="1" x14ac:dyDescent="0.2"/>
    <row r="96" s="81" customFormat="1" x14ac:dyDescent="0.2"/>
    <row r="97" s="81" customFormat="1" x14ac:dyDescent="0.2"/>
    <row r="98" s="81" customFormat="1" x14ac:dyDescent="0.2"/>
    <row r="99" s="81" customFormat="1" x14ac:dyDescent="0.2"/>
    <row r="100" s="81" customFormat="1" x14ac:dyDescent="0.2"/>
    <row r="101" s="81" customFormat="1" x14ac:dyDescent="0.2"/>
    <row r="102" s="81" customFormat="1" x14ac:dyDescent="0.2"/>
    <row r="103" s="81" customFormat="1" x14ac:dyDescent="0.2"/>
    <row r="104" s="81" customFormat="1" x14ac:dyDescent="0.2"/>
    <row r="105" s="81" customFormat="1" x14ac:dyDescent="0.2"/>
    <row r="106" s="81" customFormat="1" x14ac:dyDescent="0.2"/>
    <row r="107" s="81" customFormat="1" x14ac:dyDescent="0.2"/>
    <row r="108" s="81" customFormat="1" x14ac:dyDescent="0.2"/>
    <row r="109" s="81" customFormat="1" x14ac:dyDescent="0.2"/>
    <row r="110" s="81" customFormat="1" x14ac:dyDescent="0.2"/>
    <row r="111" s="81" customFormat="1" x14ac:dyDescent="0.2"/>
    <row r="112" s="81" customFormat="1" x14ac:dyDescent="0.2"/>
    <row r="113" s="81" customFormat="1" x14ac:dyDescent="0.2"/>
    <row r="114" s="81" customFormat="1" x14ac:dyDescent="0.2"/>
    <row r="115" s="81" customFormat="1" x14ac:dyDescent="0.2"/>
    <row r="116" s="81" customFormat="1" x14ac:dyDescent="0.2"/>
    <row r="117" s="81" customFormat="1" x14ac:dyDescent="0.2"/>
    <row r="118" s="81" customFormat="1" x14ac:dyDescent="0.2"/>
    <row r="119" s="81" customFormat="1" x14ac:dyDescent="0.2"/>
    <row r="120" s="81" customFormat="1" x14ac:dyDescent="0.2"/>
    <row r="121" s="81" customFormat="1" x14ac:dyDescent="0.2"/>
    <row r="122" s="81" customFormat="1" x14ac:dyDescent="0.2"/>
    <row r="123" s="81" customFormat="1" x14ac:dyDescent="0.2"/>
    <row r="124" s="81" customFormat="1" x14ac:dyDescent="0.2"/>
    <row r="125" s="81" customFormat="1" x14ac:dyDescent="0.2"/>
    <row r="126" s="81" customFormat="1" x14ac:dyDescent="0.2"/>
    <row r="127" s="81" customFormat="1" x14ac:dyDescent="0.2"/>
    <row r="128" s="81" customFormat="1" x14ac:dyDescent="0.2"/>
    <row r="129" s="81" customFormat="1" x14ac:dyDescent="0.2"/>
    <row r="130" s="81" customFormat="1" x14ac:dyDescent="0.2"/>
    <row r="131" s="81" customFormat="1" x14ac:dyDescent="0.2"/>
    <row r="132" s="81" customFormat="1" x14ac:dyDescent="0.2"/>
    <row r="133" s="81" customFormat="1" x14ac:dyDescent="0.2"/>
    <row r="134" s="81" customFormat="1" x14ac:dyDescent="0.2"/>
    <row r="135" s="81" customFormat="1" x14ac:dyDescent="0.2"/>
    <row r="136" s="81" customFormat="1" x14ac:dyDescent="0.2"/>
    <row r="137" s="81" customFormat="1" x14ac:dyDescent="0.2"/>
    <row r="138" s="81" customFormat="1" x14ac:dyDescent="0.2"/>
    <row r="139" s="81" customFormat="1" x14ac:dyDescent="0.2"/>
    <row r="140" s="81" customFormat="1" x14ac:dyDescent="0.2"/>
    <row r="141" s="81" customFormat="1" x14ac:dyDescent="0.2"/>
    <row r="142" s="81" customFormat="1" x14ac:dyDescent="0.2"/>
    <row r="143" s="81" customFormat="1" x14ac:dyDescent="0.2"/>
    <row r="144" s="81" customFormat="1" x14ac:dyDescent="0.2"/>
    <row r="145" s="81" customFormat="1" x14ac:dyDescent="0.2"/>
    <row r="146" s="81" customFormat="1" x14ac:dyDescent="0.2"/>
    <row r="147" s="81" customFormat="1" x14ac:dyDescent="0.2"/>
    <row r="148" s="81" customFormat="1" x14ac:dyDescent="0.2"/>
    <row r="149" s="81" customFormat="1" x14ac:dyDescent="0.2"/>
    <row r="150" s="81" customFormat="1" x14ac:dyDescent="0.2"/>
    <row r="151" s="81" customFormat="1" x14ac:dyDescent="0.2"/>
    <row r="152" s="81" customFormat="1" x14ac:dyDescent="0.2"/>
    <row r="153" s="81" customFormat="1" x14ac:dyDescent="0.2"/>
    <row r="154" s="81" customFormat="1" x14ac:dyDescent="0.2"/>
    <row r="155" s="81" customFormat="1" x14ac:dyDescent="0.2"/>
    <row r="156" s="81" customFormat="1" x14ac:dyDescent="0.2"/>
    <row r="157" s="81" customFormat="1" x14ac:dyDescent="0.2"/>
    <row r="158" s="81" customFormat="1" x14ac:dyDescent="0.2"/>
    <row r="159" s="81" customFormat="1" x14ac:dyDescent="0.2"/>
    <row r="160" s="81" customFormat="1" x14ac:dyDescent="0.2"/>
    <row r="161" s="81" customFormat="1" x14ac:dyDescent="0.2"/>
    <row r="162" s="81" customFormat="1" x14ac:dyDescent="0.2"/>
    <row r="163" s="81" customFormat="1" x14ac:dyDescent="0.2"/>
    <row r="164" s="81" customFormat="1" x14ac:dyDescent="0.2"/>
    <row r="165" s="81" customFormat="1" x14ac:dyDescent="0.2"/>
    <row r="166" s="81" customFormat="1" x14ac:dyDescent="0.2"/>
    <row r="167" s="81" customFormat="1" x14ac:dyDescent="0.2"/>
    <row r="168" s="81" customFormat="1" x14ac:dyDescent="0.2"/>
    <row r="169" s="81" customFormat="1" x14ac:dyDescent="0.2"/>
    <row r="170" s="81" customFormat="1" x14ac:dyDescent="0.2"/>
    <row r="171" s="81" customFormat="1" x14ac:dyDescent="0.2"/>
    <row r="172" s="81" customFormat="1" x14ac:dyDescent="0.2"/>
    <row r="173" s="81" customFormat="1" x14ac:dyDescent="0.2"/>
    <row r="174" s="81" customFormat="1" x14ac:dyDescent="0.2"/>
    <row r="175" s="81" customFormat="1" x14ac:dyDescent="0.2"/>
    <row r="176" s="81" customFormat="1" x14ac:dyDescent="0.2"/>
    <row r="177" s="81" customFormat="1" x14ac:dyDescent="0.2"/>
    <row r="178" s="81" customFormat="1" x14ac:dyDescent="0.2"/>
    <row r="179" s="81" customFormat="1" x14ac:dyDescent="0.2"/>
    <row r="180" s="81" customFormat="1" x14ac:dyDescent="0.2"/>
    <row r="181" s="81" customFormat="1" x14ac:dyDescent="0.2"/>
    <row r="182" s="81" customFormat="1" x14ac:dyDescent="0.2"/>
    <row r="183" s="81" customFormat="1" x14ac:dyDescent="0.2"/>
    <row r="184" s="81" customFormat="1" x14ac:dyDescent="0.2"/>
    <row r="185" s="81" customFormat="1" x14ac:dyDescent="0.2"/>
    <row r="186" s="81" customFormat="1" x14ac:dyDescent="0.2"/>
    <row r="187" s="81" customFormat="1" x14ac:dyDescent="0.2"/>
    <row r="188" s="81" customFormat="1" x14ac:dyDescent="0.2"/>
    <row r="189" s="81" customFormat="1" x14ac:dyDescent="0.2"/>
    <row r="190" s="81" customFormat="1" x14ac:dyDescent="0.2"/>
    <row r="191" s="81" customFormat="1" x14ac:dyDescent="0.2"/>
    <row r="192" s="81" customFormat="1" x14ac:dyDescent="0.2"/>
    <row r="193" s="81" customFormat="1" x14ac:dyDescent="0.2"/>
    <row r="194" s="81" customFormat="1" x14ac:dyDescent="0.2"/>
    <row r="195" s="81" customFormat="1" x14ac:dyDescent="0.2"/>
    <row r="196" s="81" customFormat="1" x14ac:dyDescent="0.2"/>
    <row r="197" s="81" customFormat="1" x14ac:dyDescent="0.2"/>
    <row r="198" s="81" customFormat="1" x14ac:dyDescent="0.2"/>
    <row r="199" s="81" customFormat="1" x14ac:dyDescent="0.2"/>
    <row r="200" s="81" customFormat="1" x14ac:dyDescent="0.2"/>
    <row r="201" s="81" customFormat="1" x14ac:dyDescent="0.2"/>
    <row r="202" s="81" customFormat="1" x14ac:dyDescent="0.2"/>
    <row r="203" s="81" customFormat="1" x14ac:dyDescent="0.2"/>
    <row r="204" s="81" customFormat="1" x14ac:dyDescent="0.2"/>
    <row r="205" s="81" customFormat="1" x14ac:dyDescent="0.2"/>
    <row r="206" s="81" customFormat="1" x14ac:dyDescent="0.2"/>
    <row r="207" s="81" customFormat="1" x14ac:dyDescent="0.2"/>
    <row r="208" s="81" customFormat="1" x14ac:dyDescent="0.2"/>
    <row r="209" s="81" customFormat="1" x14ac:dyDescent="0.2"/>
    <row r="210" s="81" customFormat="1" x14ac:dyDescent="0.2"/>
    <row r="211" s="81" customFormat="1" x14ac:dyDescent="0.2"/>
    <row r="212" s="81" customFormat="1" x14ac:dyDescent="0.2"/>
    <row r="213" s="81" customFormat="1" x14ac:dyDescent="0.2"/>
    <row r="214" s="81" customFormat="1" x14ac:dyDescent="0.2"/>
    <row r="215" s="81" customFormat="1" x14ac:dyDescent="0.2"/>
    <row r="216" s="81" customFormat="1" x14ac:dyDescent="0.2"/>
    <row r="217" s="81" customFormat="1" x14ac:dyDescent="0.2"/>
    <row r="218" s="81" customFormat="1" x14ac:dyDescent="0.2"/>
    <row r="219" s="81" customFormat="1" x14ac:dyDescent="0.2"/>
    <row r="220" s="81" customFormat="1" x14ac:dyDescent="0.2"/>
    <row r="221" s="81" customFormat="1" x14ac:dyDescent="0.2"/>
    <row r="222" s="81" customFormat="1" x14ac:dyDescent="0.2"/>
    <row r="223" s="81" customFormat="1" x14ac:dyDescent="0.2"/>
    <row r="224" s="81" customFormat="1" x14ac:dyDescent="0.2"/>
    <row r="225" s="81" customFormat="1" x14ac:dyDescent="0.2"/>
    <row r="226" s="81" customFormat="1" x14ac:dyDescent="0.2"/>
    <row r="227" s="81" customFormat="1" x14ac:dyDescent="0.2"/>
    <row r="228" s="81" customFormat="1" x14ac:dyDescent="0.2"/>
    <row r="229" s="81" customFormat="1" x14ac:dyDescent="0.2"/>
    <row r="230" s="81" customFormat="1" x14ac:dyDescent="0.2"/>
    <row r="231" s="81" customFormat="1" x14ac:dyDescent="0.2"/>
    <row r="232" s="81" customFormat="1" x14ac:dyDescent="0.2"/>
    <row r="233" s="81" customFormat="1" x14ac:dyDescent="0.2"/>
    <row r="234" s="81" customFormat="1" x14ac:dyDescent="0.2"/>
    <row r="235" s="81" customFormat="1" x14ac:dyDescent="0.2"/>
    <row r="236" s="81" customFormat="1" x14ac:dyDescent="0.2"/>
    <row r="237" s="81" customFormat="1" x14ac:dyDescent="0.2"/>
    <row r="238" s="81" customFormat="1" x14ac:dyDescent="0.2"/>
    <row r="239" s="81" customFormat="1" x14ac:dyDescent="0.2"/>
    <row r="240" s="81" customFormat="1" x14ac:dyDescent="0.2"/>
    <row r="241" s="81" customFormat="1" x14ac:dyDescent="0.2"/>
    <row r="242" s="81" customFormat="1" x14ac:dyDescent="0.2"/>
    <row r="243" s="81" customFormat="1" x14ac:dyDescent="0.2"/>
    <row r="244" s="81" customFormat="1" x14ac:dyDescent="0.2"/>
    <row r="245" s="81" customFormat="1" x14ac:dyDescent="0.2"/>
    <row r="246" s="81" customFormat="1" x14ac:dyDescent="0.2"/>
    <row r="247" s="81" customFormat="1" x14ac:dyDescent="0.2"/>
    <row r="248" s="81" customFormat="1" x14ac:dyDescent="0.2"/>
    <row r="249" s="81" customFormat="1" x14ac:dyDescent="0.2"/>
    <row r="250" s="81" customFormat="1" x14ac:dyDescent="0.2"/>
    <row r="251" s="81" customFormat="1" x14ac:dyDescent="0.2"/>
    <row r="252" s="81" customFormat="1" x14ac:dyDescent="0.2"/>
    <row r="253" s="81" customFormat="1" x14ac:dyDescent="0.2"/>
    <row r="254" s="81" customFormat="1" x14ac:dyDescent="0.2"/>
    <row r="255" s="81" customFormat="1" x14ac:dyDescent="0.2"/>
    <row r="256" s="81" customFormat="1" x14ac:dyDescent="0.2"/>
    <row r="257" s="81" customFormat="1" x14ac:dyDescent="0.2"/>
    <row r="258" s="81" customFormat="1" x14ac:dyDescent="0.2"/>
    <row r="259" s="81" customFormat="1" x14ac:dyDescent="0.2"/>
    <row r="260" s="81" customFormat="1" x14ac:dyDescent="0.2"/>
    <row r="261" s="81" customFormat="1" x14ac:dyDescent="0.2"/>
    <row r="262" s="81" customFormat="1" x14ac:dyDescent="0.2"/>
    <row r="263" s="81" customFormat="1" x14ac:dyDescent="0.2"/>
    <row r="264" s="81" customFormat="1" x14ac:dyDescent="0.2"/>
    <row r="265" s="81" customFormat="1" x14ac:dyDescent="0.2"/>
    <row r="266" s="81" customFormat="1" x14ac:dyDescent="0.2"/>
    <row r="267" s="81" customFormat="1" x14ac:dyDescent="0.2"/>
    <row r="268" s="81" customFormat="1" x14ac:dyDescent="0.2"/>
    <row r="269" s="81" customFormat="1" x14ac:dyDescent="0.2"/>
    <row r="270" s="81" customFormat="1" x14ac:dyDescent="0.2"/>
    <row r="271" s="81" customFormat="1" x14ac:dyDescent="0.2"/>
    <row r="272" s="81" customFormat="1" x14ac:dyDescent="0.2"/>
    <row r="273" s="81" customFormat="1" x14ac:dyDescent="0.2"/>
    <row r="274" s="81" customFormat="1" x14ac:dyDescent="0.2"/>
    <row r="275" s="81" customFormat="1" x14ac:dyDescent="0.2"/>
    <row r="276" s="81" customFormat="1" x14ac:dyDescent="0.2"/>
    <row r="277" s="81" customFormat="1" x14ac:dyDescent="0.2"/>
    <row r="278" s="81" customFormat="1" x14ac:dyDescent="0.2"/>
    <row r="279" s="81" customFormat="1" x14ac:dyDescent="0.2"/>
    <row r="280" s="81" customFormat="1" x14ac:dyDescent="0.2"/>
    <row r="281" s="81" customFormat="1" x14ac:dyDescent="0.2"/>
    <row r="282" s="81" customFormat="1" x14ac:dyDescent="0.2"/>
    <row r="283" s="81" customFormat="1" x14ac:dyDescent="0.2"/>
    <row r="284" s="81" customFormat="1" x14ac:dyDescent="0.2"/>
    <row r="285" s="81" customFormat="1" x14ac:dyDescent="0.2"/>
    <row r="286" s="81" customFormat="1" x14ac:dyDescent="0.2"/>
    <row r="287" s="81" customFormat="1" x14ac:dyDescent="0.2"/>
    <row r="288" s="81" customFormat="1" x14ac:dyDescent="0.2"/>
    <row r="289" s="81" customFormat="1" x14ac:dyDescent="0.2"/>
    <row r="290" s="81" customFormat="1" x14ac:dyDescent="0.2"/>
    <row r="291" s="81" customFormat="1" x14ac:dyDescent="0.2"/>
    <row r="292" s="81" customFormat="1" x14ac:dyDescent="0.2"/>
    <row r="293" s="81" customFormat="1" x14ac:dyDescent="0.2"/>
    <row r="294" s="81" customFormat="1" x14ac:dyDescent="0.2"/>
    <row r="295" s="81" customFormat="1" x14ac:dyDescent="0.2"/>
    <row r="296" s="81" customFormat="1" x14ac:dyDescent="0.2"/>
    <row r="297" s="81" customFormat="1" x14ac:dyDescent="0.2"/>
    <row r="298" s="81" customFormat="1" x14ac:dyDescent="0.2"/>
    <row r="299" s="81" customFormat="1" x14ac:dyDescent="0.2"/>
    <row r="300" s="81" customFormat="1" x14ac:dyDescent="0.2"/>
    <row r="301" s="81" customFormat="1" x14ac:dyDescent="0.2"/>
    <row r="302" s="81" customFormat="1" x14ac:dyDescent="0.2"/>
    <row r="303" s="81" customFormat="1" x14ac:dyDescent="0.2"/>
    <row r="304" s="81" customFormat="1" x14ac:dyDescent="0.2"/>
    <row r="305" s="81" customFormat="1" x14ac:dyDescent="0.2"/>
    <row r="306" s="81" customFormat="1" x14ac:dyDescent="0.2"/>
    <row r="307" s="81" customFormat="1" x14ac:dyDescent="0.2"/>
    <row r="308" s="81" customFormat="1" x14ac:dyDescent="0.2"/>
    <row r="309" s="81" customFormat="1" x14ac:dyDescent="0.2"/>
    <row r="310" s="81" customFormat="1" x14ac:dyDescent="0.2"/>
    <row r="311" s="81" customFormat="1" x14ac:dyDescent="0.2"/>
    <row r="312" s="81" customFormat="1" x14ac:dyDescent="0.2"/>
    <row r="313" s="81" customFormat="1" x14ac:dyDescent="0.2"/>
    <row r="314" s="81" customFormat="1" x14ac:dyDescent="0.2"/>
    <row r="315" s="81" customFormat="1" x14ac:dyDescent="0.2"/>
    <row r="316" s="81" customFormat="1" x14ac:dyDescent="0.2"/>
    <row r="317" s="81" customFormat="1" x14ac:dyDescent="0.2"/>
    <row r="318" s="81" customFormat="1" x14ac:dyDescent="0.2"/>
    <row r="319" s="81" customFormat="1" x14ac:dyDescent="0.2"/>
    <row r="320" s="81" customFormat="1" x14ac:dyDescent="0.2"/>
    <row r="321" s="81" customFormat="1" x14ac:dyDescent="0.2"/>
    <row r="322" s="81" customFormat="1" x14ac:dyDescent="0.2"/>
    <row r="323" s="81" customFormat="1" x14ac:dyDescent="0.2"/>
    <row r="324" s="81" customFormat="1" x14ac:dyDescent="0.2"/>
    <row r="325" s="81" customFormat="1" x14ac:dyDescent="0.2"/>
    <row r="326" s="81" customFormat="1" x14ac:dyDescent="0.2"/>
    <row r="327" s="81" customFormat="1" x14ac:dyDescent="0.2"/>
    <row r="328" s="81" customFormat="1" x14ac:dyDescent="0.2"/>
    <row r="329" s="81" customFormat="1" x14ac:dyDescent="0.2"/>
    <row r="330" s="81" customFormat="1" x14ac:dyDescent="0.2"/>
    <row r="331" s="81" customFormat="1" x14ac:dyDescent="0.2"/>
    <row r="332" s="81" customFormat="1" x14ac:dyDescent="0.2"/>
    <row r="333" s="81" customFormat="1" x14ac:dyDescent="0.2"/>
    <row r="334" s="81" customFormat="1" x14ac:dyDescent="0.2"/>
    <row r="335" s="81" customFormat="1" x14ac:dyDescent="0.2"/>
    <row r="336" s="81" customFormat="1" x14ac:dyDescent="0.2"/>
    <row r="337" s="81" customFormat="1" x14ac:dyDescent="0.2"/>
    <row r="338" s="81" customFormat="1" x14ac:dyDescent="0.2"/>
    <row r="339" s="81" customFormat="1" x14ac:dyDescent="0.2"/>
    <row r="340" s="81" customFormat="1" x14ac:dyDescent="0.2"/>
    <row r="341" s="81" customFormat="1" x14ac:dyDescent="0.2"/>
    <row r="342" s="81" customFormat="1" x14ac:dyDescent="0.2"/>
    <row r="343" s="81" customFormat="1" x14ac:dyDescent="0.2"/>
    <row r="344" s="81" customFormat="1" x14ac:dyDescent="0.2"/>
    <row r="345" s="81" customFormat="1" x14ac:dyDescent="0.2"/>
    <row r="346" s="81" customFormat="1" x14ac:dyDescent="0.2"/>
    <row r="347" s="81" customFormat="1" x14ac:dyDescent="0.2"/>
    <row r="348" s="81" customFormat="1" x14ac:dyDescent="0.2"/>
    <row r="349" s="81" customFormat="1" x14ac:dyDescent="0.2"/>
    <row r="350" s="81" customFormat="1" x14ac:dyDescent="0.2"/>
    <row r="351" s="81" customFormat="1" x14ac:dyDescent="0.2"/>
    <row r="352" s="81" customFormat="1" x14ac:dyDescent="0.2"/>
    <row r="353" s="81" customFormat="1" x14ac:dyDescent="0.2"/>
    <row r="354" s="81" customFormat="1" x14ac:dyDescent="0.2"/>
    <row r="355" s="81" customFormat="1" x14ac:dyDescent="0.2"/>
    <row r="356" s="81" customFormat="1" x14ac:dyDescent="0.2"/>
    <row r="357" s="81" customFormat="1" x14ac:dyDescent="0.2"/>
    <row r="358" s="81" customFormat="1" x14ac:dyDescent="0.2"/>
    <row r="359" s="81" customFormat="1" x14ac:dyDescent="0.2"/>
    <row r="360" s="81" customFormat="1" x14ac:dyDescent="0.2"/>
    <row r="361" s="81" customFormat="1" x14ac:dyDescent="0.2"/>
    <row r="362" s="81" customFormat="1" x14ac:dyDescent="0.2"/>
    <row r="363" s="81" customFormat="1" x14ac:dyDescent="0.2"/>
    <row r="364" s="81" customFormat="1" x14ac:dyDescent="0.2"/>
    <row r="365" s="81" customFormat="1" x14ac:dyDescent="0.2"/>
    <row r="366" s="81" customFormat="1" x14ac:dyDescent="0.2"/>
    <row r="367" s="81" customFormat="1" x14ac:dyDescent="0.2"/>
    <row r="368" s="81" customFormat="1" x14ac:dyDescent="0.2"/>
    <row r="369" s="81" customFormat="1" x14ac:dyDescent="0.2"/>
    <row r="370" s="81" customFormat="1" x14ac:dyDescent="0.2"/>
    <row r="371" s="81" customFormat="1" x14ac:dyDescent="0.2"/>
    <row r="372" s="81" customFormat="1" x14ac:dyDescent="0.2"/>
    <row r="373" s="81" customFormat="1" x14ac:dyDescent="0.2"/>
    <row r="374" s="81" customFormat="1" x14ac:dyDescent="0.2"/>
    <row r="375" s="81" customFormat="1" x14ac:dyDescent="0.2"/>
    <row r="376" s="81" customFormat="1" x14ac:dyDescent="0.2"/>
    <row r="377" s="81" customFormat="1" x14ac:dyDescent="0.2"/>
    <row r="378" s="81" customFormat="1" x14ac:dyDescent="0.2"/>
    <row r="379" s="81" customFormat="1" x14ac:dyDescent="0.2"/>
    <row r="380" s="81" customFormat="1" x14ac:dyDescent="0.2"/>
    <row r="381" s="81" customFormat="1" x14ac:dyDescent="0.2"/>
    <row r="382" s="81" customFormat="1" x14ac:dyDescent="0.2"/>
    <row r="383" s="81" customFormat="1" x14ac:dyDescent="0.2"/>
    <row r="384" s="81" customFormat="1" x14ac:dyDescent="0.2"/>
    <row r="385" s="81" customFormat="1" x14ac:dyDescent="0.2"/>
    <row r="386" s="81" customFormat="1" x14ac:dyDescent="0.2"/>
    <row r="387" s="81" customFormat="1" x14ac:dyDescent="0.2"/>
    <row r="388" s="81" customFormat="1" x14ac:dyDescent="0.2"/>
    <row r="389" s="81" customFormat="1" x14ac:dyDescent="0.2"/>
    <row r="390" s="81" customFormat="1" x14ac:dyDescent="0.2"/>
    <row r="391" s="81" customFormat="1" x14ac:dyDescent="0.2"/>
    <row r="392" s="81" customFormat="1" x14ac:dyDescent="0.2"/>
    <row r="393" s="81" customFormat="1" x14ac:dyDescent="0.2"/>
    <row r="394" s="81" customFormat="1" x14ac:dyDescent="0.2"/>
    <row r="395" s="81" customFormat="1" x14ac:dyDescent="0.2"/>
    <row r="396" s="81" customFormat="1" x14ac:dyDescent="0.2"/>
    <row r="397" s="81" customFormat="1" x14ac:dyDescent="0.2"/>
    <row r="398" s="81" customFormat="1" x14ac:dyDescent="0.2"/>
    <row r="399" s="81" customFormat="1" x14ac:dyDescent="0.2"/>
    <row r="400" s="81" customFormat="1" x14ac:dyDescent="0.2"/>
    <row r="401" s="81" customFormat="1" x14ac:dyDescent="0.2"/>
    <row r="402" s="81" customFormat="1" x14ac:dyDescent="0.2"/>
    <row r="403" s="81" customFormat="1" x14ac:dyDescent="0.2"/>
    <row r="404" s="81" customFormat="1" x14ac:dyDescent="0.2"/>
    <row r="405" s="81" customFormat="1" x14ac:dyDescent="0.2"/>
    <row r="406" s="81" customFormat="1" x14ac:dyDescent="0.2"/>
    <row r="407" s="81" customFormat="1" x14ac:dyDescent="0.2"/>
    <row r="408" s="81" customFormat="1" x14ac:dyDescent="0.2"/>
    <row r="409" s="81" customFormat="1" x14ac:dyDescent="0.2"/>
    <row r="410" s="81" customFormat="1" x14ac:dyDescent="0.2"/>
    <row r="411" s="81" customFormat="1" x14ac:dyDescent="0.2"/>
    <row r="412" s="81" customFormat="1" x14ac:dyDescent="0.2"/>
    <row r="413" s="81" customFormat="1" x14ac:dyDescent="0.2"/>
    <row r="414" s="81" customFormat="1" x14ac:dyDescent="0.2"/>
    <row r="415" s="81" customFormat="1" x14ac:dyDescent="0.2"/>
    <row r="416" s="81" customFormat="1" x14ac:dyDescent="0.2"/>
    <row r="417" s="81" customFormat="1" x14ac:dyDescent="0.2"/>
    <row r="418" s="81" customFormat="1" x14ac:dyDescent="0.2"/>
    <row r="419" s="81" customFormat="1" x14ac:dyDescent="0.2"/>
    <row r="420" s="81" customFormat="1" x14ac:dyDescent="0.2"/>
    <row r="421" s="81" customFormat="1" x14ac:dyDescent="0.2"/>
    <row r="422" s="81" customFormat="1" x14ac:dyDescent="0.2"/>
    <row r="423" s="81" customFormat="1" x14ac:dyDescent="0.2"/>
    <row r="424" s="81" customFormat="1" x14ac:dyDescent="0.2"/>
    <row r="425" s="81" customFormat="1" x14ac:dyDescent="0.2"/>
    <row r="426" s="81" customFormat="1" x14ac:dyDescent="0.2"/>
    <row r="427" s="81" customFormat="1" x14ac:dyDescent="0.2"/>
    <row r="428" s="81" customFormat="1" x14ac:dyDescent="0.2"/>
    <row r="429" s="81" customFormat="1" x14ac:dyDescent="0.2"/>
    <row r="430" s="81" customFormat="1" x14ac:dyDescent="0.2"/>
    <row r="431" s="81" customFormat="1" x14ac:dyDescent="0.2"/>
    <row r="432" s="81" customFormat="1" x14ac:dyDescent="0.2"/>
    <row r="433" s="81" customFormat="1" x14ac:dyDescent="0.2"/>
    <row r="434" s="81" customFormat="1" x14ac:dyDescent="0.2"/>
    <row r="435" s="81" customFormat="1" x14ac:dyDescent="0.2"/>
    <row r="436" s="81" customFormat="1" x14ac:dyDescent="0.2"/>
    <row r="437" s="81" customFormat="1" x14ac:dyDescent="0.2"/>
    <row r="438" s="81" customFormat="1" x14ac:dyDescent="0.2"/>
    <row r="439" s="81" customFormat="1" x14ac:dyDescent="0.2"/>
    <row r="440" s="81" customFormat="1" x14ac:dyDescent="0.2"/>
    <row r="441" s="81" customFormat="1" x14ac:dyDescent="0.2"/>
    <row r="442" s="81" customFormat="1" x14ac:dyDescent="0.2"/>
    <row r="443" s="81" customFormat="1" x14ac:dyDescent="0.2"/>
    <row r="444" s="81" customFormat="1" x14ac:dyDescent="0.2"/>
    <row r="445" s="81" customFormat="1" x14ac:dyDescent="0.2"/>
    <row r="446" s="81" customFormat="1" x14ac:dyDescent="0.2"/>
    <row r="447" s="81" customFormat="1" x14ac:dyDescent="0.2"/>
    <row r="448" s="81" customFormat="1" x14ac:dyDescent="0.2"/>
    <row r="449" s="81" customFormat="1" x14ac:dyDescent="0.2"/>
    <row r="450" s="81" customFormat="1" x14ac:dyDescent="0.2"/>
    <row r="451" s="81" customFormat="1" x14ac:dyDescent="0.2"/>
    <row r="452" s="81" customFormat="1" x14ac:dyDescent="0.2"/>
    <row r="453" s="81" customFormat="1" x14ac:dyDescent="0.2"/>
    <row r="454" s="81" customFormat="1" x14ac:dyDescent="0.2"/>
    <row r="455" s="81" customFormat="1" x14ac:dyDescent="0.2"/>
    <row r="456" s="81" customFormat="1" x14ac:dyDescent="0.2"/>
    <row r="457" s="81" customFormat="1" x14ac:dyDescent="0.2"/>
    <row r="458" s="81" customFormat="1" x14ac:dyDescent="0.2"/>
    <row r="459" s="81" customFormat="1" x14ac:dyDescent="0.2"/>
    <row r="460" s="81" customFormat="1" x14ac:dyDescent="0.2"/>
    <row r="461" s="81" customFormat="1" x14ac:dyDescent="0.2"/>
    <row r="462" s="81" customFormat="1" x14ac:dyDescent="0.2"/>
    <row r="463" s="81" customFormat="1" x14ac:dyDescent="0.2"/>
    <row r="464" s="81" customFormat="1" x14ac:dyDescent="0.2"/>
    <row r="465" s="81" customFormat="1" x14ac:dyDescent="0.2"/>
    <row r="466" s="81" customFormat="1" x14ac:dyDescent="0.2"/>
    <row r="467" s="81" customFormat="1" x14ac:dyDescent="0.2"/>
    <row r="468" s="81" customFormat="1" x14ac:dyDescent="0.2"/>
    <row r="469" s="81" customFormat="1" x14ac:dyDescent="0.2"/>
    <row r="470" s="81" customFormat="1" x14ac:dyDescent="0.2"/>
    <row r="471" s="81" customFormat="1" x14ac:dyDescent="0.2"/>
    <row r="472" s="81" customFormat="1" x14ac:dyDescent="0.2"/>
    <row r="473" s="81" customFormat="1" x14ac:dyDescent="0.2"/>
    <row r="474" s="81" customFormat="1" x14ac:dyDescent="0.2"/>
    <row r="475" s="81" customFormat="1" x14ac:dyDescent="0.2"/>
    <row r="476" s="81" customFormat="1" x14ac:dyDescent="0.2"/>
    <row r="477" s="81" customFormat="1" x14ac:dyDescent="0.2"/>
    <row r="478" s="81" customFormat="1" x14ac:dyDescent="0.2"/>
    <row r="479" s="81" customFormat="1" x14ac:dyDescent="0.2"/>
    <row r="480" s="81" customFormat="1" x14ac:dyDescent="0.2"/>
    <row r="481" s="81" customFormat="1" x14ac:dyDescent="0.2"/>
    <row r="482" s="81" customFormat="1" x14ac:dyDescent="0.2"/>
    <row r="483" s="81" customFormat="1" x14ac:dyDescent="0.2"/>
    <row r="484" s="81" customFormat="1" x14ac:dyDescent="0.2"/>
    <row r="485" s="81" customFormat="1" x14ac:dyDescent="0.2"/>
    <row r="486" s="81" customFormat="1" x14ac:dyDescent="0.2"/>
    <row r="487" s="81" customFormat="1" x14ac:dyDescent="0.2"/>
    <row r="488" s="81" customFormat="1" x14ac:dyDescent="0.2"/>
    <row r="489" s="81" customFormat="1" x14ac:dyDescent="0.2"/>
    <row r="490" s="81" customFormat="1" x14ac:dyDescent="0.2"/>
    <row r="491" s="81" customFormat="1" x14ac:dyDescent="0.2"/>
    <row r="492" s="81" customFormat="1" x14ac:dyDescent="0.2"/>
    <row r="493" s="81" customFormat="1" x14ac:dyDescent="0.2"/>
    <row r="494" s="81" customFormat="1" x14ac:dyDescent="0.2"/>
    <row r="495" s="81" customFormat="1" x14ac:dyDescent="0.2"/>
    <row r="496" s="81" customFormat="1" x14ac:dyDescent="0.2"/>
    <row r="497" s="81" customFormat="1" x14ac:dyDescent="0.2"/>
    <row r="498" s="81" customFormat="1" x14ac:dyDescent="0.2"/>
    <row r="499" s="81" customFormat="1" x14ac:dyDescent="0.2"/>
    <row r="500" s="81" customFormat="1" x14ac:dyDescent="0.2"/>
    <row r="501" s="81" customFormat="1" x14ac:dyDescent="0.2"/>
    <row r="502" s="81" customFormat="1" x14ac:dyDescent="0.2"/>
    <row r="503" s="81" customFormat="1" x14ac:dyDescent="0.2"/>
    <row r="504" s="81" customFormat="1" x14ac:dyDescent="0.2"/>
    <row r="505" s="81" customFormat="1" x14ac:dyDescent="0.2"/>
    <row r="506" s="81" customFormat="1" x14ac:dyDescent="0.2"/>
    <row r="507" s="81" customFormat="1" x14ac:dyDescent="0.2"/>
    <row r="508" s="81" customFormat="1" x14ac:dyDescent="0.2"/>
    <row r="509" s="81" customFormat="1" x14ac:dyDescent="0.2"/>
    <row r="510" s="81" customFormat="1" x14ac:dyDescent="0.2"/>
    <row r="511" s="81" customFormat="1" x14ac:dyDescent="0.2"/>
    <row r="512" s="81" customFormat="1" x14ac:dyDescent="0.2"/>
    <row r="513" s="81" customFormat="1" x14ac:dyDescent="0.2"/>
    <row r="514" s="81" customFormat="1" x14ac:dyDescent="0.2"/>
    <row r="515" s="81" customFormat="1" x14ac:dyDescent="0.2"/>
    <row r="516" s="81" customFormat="1" x14ac:dyDescent="0.2"/>
    <row r="517" s="81" customFormat="1" x14ac:dyDescent="0.2"/>
    <row r="518" s="81" customFormat="1" x14ac:dyDescent="0.2"/>
    <row r="519" s="81" customFormat="1" x14ac:dyDescent="0.2"/>
    <row r="520" s="81" customFormat="1" x14ac:dyDescent="0.2"/>
    <row r="521" s="81" customFormat="1" x14ac:dyDescent="0.2"/>
    <row r="522" s="81" customFormat="1" x14ac:dyDescent="0.2"/>
    <row r="523" s="81" customFormat="1" x14ac:dyDescent="0.2"/>
    <row r="524" s="81" customFormat="1" x14ac:dyDescent="0.2"/>
    <row r="525" s="81" customFormat="1" x14ac:dyDescent="0.2"/>
    <row r="526" s="81" customFormat="1" x14ac:dyDescent="0.2"/>
    <row r="527" s="81" customFormat="1" x14ac:dyDescent="0.2"/>
    <row r="528" s="81" customFormat="1" x14ac:dyDescent="0.2"/>
    <row r="529" s="81" customFormat="1" x14ac:dyDescent="0.2"/>
    <row r="530" s="81" customFormat="1" x14ac:dyDescent="0.2"/>
    <row r="531" s="81" customFormat="1" x14ac:dyDescent="0.2"/>
    <row r="532" s="81" customFormat="1" x14ac:dyDescent="0.2"/>
    <row r="533" s="81" customFormat="1" x14ac:dyDescent="0.2"/>
    <row r="534" s="81" customFormat="1" x14ac:dyDescent="0.2"/>
    <row r="535" s="81" customFormat="1" x14ac:dyDescent="0.2"/>
    <row r="536" s="81" customFormat="1" x14ac:dyDescent="0.2"/>
    <row r="537" s="81" customFormat="1" x14ac:dyDescent="0.2"/>
    <row r="538" s="81" customFormat="1" x14ac:dyDescent="0.2"/>
    <row r="539" s="81" customFormat="1" x14ac:dyDescent="0.2"/>
    <row r="540" s="81" customFormat="1" x14ac:dyDescent="0.2"/>
    <row r="541" s="81" customFormat="1" x14ac:dyDescent="0.2"/>
    <row r="542" s="81" customFormat="1" x14ac:dyDescent="0.2"/>
    <row r="543" s="81" customFormat="1" x14ac:dyDescent="0.2"/>
    <row r="544" s="81" customFormat="1" x14ac:dyDescent="0.2"/>
    <row r="545" s="81" customFormat="1" x14ac:dyDescent="0.2"/>
    <row r="546" s="81" customFormat="1" x14ac:dyDescent="0.2"/>
    <row r="547" s="81" customFormat="1" x14ac:dyDescent="0.2"/>
    <row r="548" s="81" customFormat="1" x14ac:dyDescent="0.2"/>
    <row r="549" s="81" customFormat="1" x14ac:dyDescent="0.2"/>
    <row r="550" s="81" customFormat="1" x14ac:dyDescent="0.2"/>
    <row r="551" s="81" customFormat="1" x14ac:dyDescent="0.2"/>
    <row r="552" s="81" customFormat="1" x14ac:dyDescent="0.2"/>
    <row r="553" s="81" customFormat="1" x14ac:dyDescent="0.2"/>
    <row r="554" s="81" customFormat="1" x14ac:dyDescent="0.2"/>
    <row r="555" s="81" customFormat="1" x14ac:dyDescent="0.2"/>
    <row r="556" s="81" customFormat="1" x14ac:dyDescent="0.2"/>
    <row r="557" s="81" customFormat="1" x14ac:dyDescent="0.2"/>
    <row r="558" s="81" customFormat="1" x14ac:dyDescent="0.2"/>
    <row r="559" s="81" customFormat="1" x14ac:dyDescent="0.2"/>
    <row r="560" s="81" customFormat="1" x14ac:dyDescent="0.2"/>
    <row r="561" s="81" customFormat="1" x14ac:dyDescent="0.2"/>
    <row r="562" s="81" customFormat="1" x14ac:dyDescent="0.2"/>
    <row r="563" s="81" customFormat="1" x14ac:dyDescent="0.2"/>
    <row r="564" s="81" customFormat="1" x14ac:dyDescent="0.2"/>
    <row r="565" s="81" customFormat="1" x14ac:dyDescent="0.2"/>
    <row r="566" s="81" customFormat="1" x14ac:dyDescent="0.2"/>
    <row r="567" s="81" customFormat="1" x14ac:dyDescent="0.2"/>
    <row r="568" s="81" customFormat="1" x14ac:dyDescent="0.2"/>
    <row r="569" s="81" customFormat="1" x14ac:dyDescent="0.2"/>
    <row r="570" s="81" customFormat="1" x14ac:dyDescent="0.2"/>
    <row r="571" s="81" customFormat="1" x14ac:dyDescent="0.2"/>
    <row r="572" s="81" customFormat="1" x14ac:dyDescent="0.2"/>
    <row r="573" s="81" customFormat="1" x14ac:dyDescent="0.2"/>
    <row r="574" s="81" customFormat="1" x14ac:dyDescent="0.2"/>
    <row r="575" s="81" customFormat="1" x14ac:dyDescent="0.2"/>
    <row r="576" s="81" customFormat="1" x14ac:dyDescent="0.2"/>
    <row r="577" s="81" customFormat="1" x14ac:dyDescent="0.2"/>
    <row r="578" s="81" customFormat="1" x14ac:dyDescent="0.2"/>
    <row r="579" s="81" customFormat="1" x14ac:dyDescent="0.2"/>
    <row r="580" s="81" customFormat="1" x14ac:dyDescent="0.2"/>
    <row r="581" s="81" customFormat="1" x14ac:dyDescent="0.2"/>
    <row r="582" s="81" customFormat="1" x14ac:dyDescent="0.2"/>
    <row r="583" s="81" customFormat="1" x14ac:dyDescent="0.2"/>
    <row r="584" s="81" customFormat="1" x14ac:dyDescent="0.2"/>
    <row r="585" s="81" customFormat="1" x14ac:dyDescent="0.2"/>
    <row r="586" s="81" customFormat="1" x14ac:dyDescent="0.2"/>
    <row r="587" s="81" customFormat="1" x14ac:dyDescent="0.2"/>
    <row r="588" s="81" customFormat="1" x14ac:dyDescent="0.2"/>
    <row r="589" s="81" customFormat="1" x14ac:dyDescent="0.2"/>
    <row r="590" s="81" customFormat="1" x14ac:dyDescent="0.2"/>
    <row r="591" s="81" customFormat="1" x14ac:dyDescent="0.2"/>
    <row r="592" s="81" customFormat="1" x14ac:dyDescent="0.2"/>
    <row r="593" s="81" customFormat="1" x14ac:dyDescent="0.2"/>
    <row r="594" s="81" customFormat="1" x14ac:dyDescent="0.2"/>
    <row r="595" s="81" customFormat="1" x14ac:dyDescent="0.2"/>
    <row r="596" s="81" customFormat="1" x14ac:dyDescent="0.2"/>
    <row r="597" s="81" customFormat="1" x14ac:dyDescent="0.2"/>
    <row r="598" s="81" customFormat="1" x14ac:dyDescent="0.2"/>
    <row r="599" s="81" customFormat="1" x14ac:dyDescent="0.2"/>
    <row r="600" s="81" customFormat="1" x14ac:dyDescent="0.2"/>
    <row r="601" s="81" customFormat="1" x14ac:dyDescent="0.2"/>
    <row r="602" s="81" customFormat="1" x14ac:dyDescent="0.2"/>
    <row r="603" s="81" customFormat="1" x14ac:dyDescent="0.2"/>
  </sheetData>
  <sheetProtection algorithmName="SHA-512" hashValue="eFrSz7R85RJuzuhB94fnE0YA0KoNb1KHY+F/IHM1AacNNX0UA3v0vR70WCVK5ykGIAOl0BQnCQaBQrFXUFxPjQ==" saltValue="v5thSdbtOP91xgQerKhXHQ==" spinCount="100000" sheet="1" objects="1" scenarios="1" selectLockedCells="1"/>
  <mergeCells count="3">
    <mergeCell ref="B68:P70"/>
    <mergeCell ref="F17:M17"/>
    <mergeCell ref="F14:M14"/>
  </mergeCells>
  <dataValidations count="2">
    <dataValidation type="decimal" allowBlank="1" showInputMessage="1" showErrorMessage="1" errorTitle="Attention:" error="Immediate Tier cannot be zero and cannot extend beyond Total Retention Time." sqref="D14" xr:uid="{AB327037-6D58-6C49-A3B2-D32C7C56D9AD}">
      <formula1>1</formula1>
      <formula2>C11</formula2>
    </dataValidation>
    <dataValidation type="list" allowBlank="1" showInputMessage="1" showErrorMessage="1" sqref="C28:D28" xr:uid="{164688F2-4051-7A43-AD9B-FD91733B13C1}">
      <formula1>"16, 32, 64, 128, 256"</formula1>
    </dataValidation>
  </dataValidations>
  <pageMargins left="0.7" right="0.7" top="0.75" bottom="0.75" header="0.3" footer="0.3"/>
  <pageSetup orientation="portrait" horizontalDpi="0" verticalDpi="0"/>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84490C2D-B147-414D-BACF-67C8CA1C230F}">
          <x14:formula1>
            <xm:f>'Tiger Input'!$B$12:$B$14</xm:f>
          </x14:formula1>
          <xm:sqref>F14</xm:sqref>
        </x14:dataValidation>
        <x14:dataValidation type="list" allowBlank="1" showInputMessage="1" showErrorMessage="1" xr:uid="{D15F45F5-DC0D-CC49-9752-15297C318BA2}">
          <x14:formula1>
            <xm:f>'Tiger Input'!$B$18:$B$23</xm:f>
          </x14:formula1>
          <xm:sqref>F17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C338D-1E09-1943-8731-9B6B1534BC41}">
  <dimension ref="A3:E12"/>
  <sheetViews>
    <sheetView workbookViewId="0">
      <selection activeCell="C8" sqref="C8"/>
    </sheetView>
  </sheetViews>
  <sheetFormatPr baseColWidth="10" defaultRowHeight="15" x14ac:dyDescent="0.2"/>
  <cols>
    <col min="2" max="2" width="27.6640625" bestFit="1" customWidth="1"/>
    <col min="3" max="3" width="10.83203125" style="66"/>
    <col min="4" max="4" width="10.83203125" style="24"/>
    <col min="5" max="5" width="10.83203125" style="68"/>
  </cols>
  <sheetData>
    <row r="3" spans="1:5" x14ac:dyDescent="0.2">
      <c r="A3" s="1" t="s">
        <v>333</v>
      </c>
      <c r="C3" s="52" t="s">
        <v>334</v>
      </c>
      <c r="D3" s="239" t="s">
        <v>335</v>
      </c>
      <c r="E3" s="240" t="s">
        <v>336</v>
      </c>
    </row>
    <row r="4" spans="1:5" x14ac:dyDescent="0.2">
      <c r="B4" t="s">
        <v>265</v>
      </c>
      <c r="C4" s="66">
        <f>(Retention_Time*Time_Factor)</f>
        <v>0</v>
      </c>
      <c r="D4" s="24" t="s">
        <v>337</v>
      </c>
      <c r="E4" s="68">
        <f>C4</f>
        <v>0</v>
      </c>
    </row>
    <row r="5" spans="1:5" x14ac:dyDescent="0.2">
      <c r="B5" t="s">
        <v>338</v>
      </c>
      <c r="D5" s="24" t="s">
        <v>339</v>
      </c>
      <c r="E5" s="68">
        <f>E4/24</f>
        <v>0</v>
      </c>
    </row>
    <row r="6" spans="1:5" x14ac:dyDescent="0.2">
      <c r="B6" t="s">
        <v>340</v>
      </c>
      <c r="C6" s="66">
        <f>24*1</f>
        <v>24</v>
      </c>
      <c r="D6" s="24" t="s">
        <v>337</v>
      </c>
      <c r="E6" s="68">
        <v>2</v>
      </c>
    </row>
    <row r="7" spans="1:5" x14ac:dyDescent="0.2">
      <c r="B7" t="s">
        <v>341</v>
      </c>
      <c r="C7" s="66" t="e">
        <f>MediaDB</f>
        <v>#DIV/0!</v>
      </c>
      <c r="D7" s="24" t="s">
        <v>49</v>
      </c>
      <c r="E7" s="68" t="e">
        <f>C7</f>
        <v>#DIV/0!</v>
      </c>
    </row>
    <row r="8" spans="1:5" x14ac:dyDescent="0.2">
      <c r="B8" t="s">
        <v>198</v>
      </c>
      <c r="C8" s="66">
        <f>IF(Storage_Input=3,MAX('Storage Calulations'!G14:G15,2),0)</f>
        <v>0</v>
      </c>
      <c r="D8" s="24" t="s">
        <v>89</v>
      </c>
      <c r="E8" s="68">
        <f>ROUNDUP(C8,0)</f>
        <v>0</v>
      </c>
    </row>
    <row r="9" spans="1:5" x14ac:dyDescent="0.2">
      <c r="B9" t="s">
        <v>342</v>
      </c>
      <c r="C9" s="66">
        <f>No_Cameras</f>
        <v>0</v>
      </c>
      <c r="D9" s="24" t="s">
        <v>343</v>
      </c>
      <c r="E9" s="68">
        <f>C9</f>
        <v>0</v>
      </c>
    </row>
    <row r="10" spans="1:5" x14ac:dyDescent="0.2">
      <c r="D10" s="24" t="s">
        <v>344</v>
      </c>
      <c r="E10" s="68">
        <f>'Tiger Input'!C86</f>
        <v>0</v>
      </c>
    </row>
    <row r="11" spans="1:5" x14ac:dyDescent="0.2">
      <c r="D11" s="24" t="s">
        <v>337</v>
      </c>
      <c r="E11" s="68">
        <f>'Tiger Input'!C87</f>
        <v>0</v>
      </c>
    </row>
    <row r="12" spans="1:5" x14ac:dyDescent="0.2">
      <c r="D12" s="24" t="s">
        <v>345</v>
      </c>
      <c r="E12" s="68" t="str">
        <f>'Tiger Input'!C88</f>
        <v>Select number of video streams</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873C4-A6CE-C440-BC3D-10D4769CCA1C}">
  <dimension ref="A1:Q167"/>
  <sheetViews>
    <sheetView workbookViewId="0">
      <selection activeCell="C2" sqref="C2"/>
    </sheetView>
  </sheetViews>
  <sheetFormatPr baseColWidth="10" defaultRowHeight="15" x14ac:dyDescent="0.2"/>
  <cols>
    <col min="2" max="2" width="38.1640625" bestFit="1" customWidth="1"/>
    <col min="3" max="3" width="10.5" bestFit="1" customWidth="1"/>
    <col min="4" max="4" width="10.1640625" bestFit="1" customWidth="1"/>
    <col min="5" max="5" width="10.6640625" bestFit="1" customWidth="1"/>
    <col min="6" max="6" width="10" bestFit="1" customWidth="1"/>
    <col min="7" max="7" width="9.1640625" bestFit="1" customWidth="1"/>
    <col min="8" max="8" width="10.5" customWidth="1"/>
    <col min="9" max="9" width="13.1640625" bestFit="1" customWidth="1"/>
    <col min="10" max="10" width="16.6640625" bestFit="1" customWidth="1"/>
    <col min="12" max="12" width="18.6640625" customWidth="1"/>
    <col min="13" max="13" width="25.1640625" customWidth="1"/>
  </cols>
  <sheetData>
    <row r="1" spans="1:17" x14ac:dyDescent="0.2">
      <c r="B1" t="s">
        <v>275</v>
      </c>
      <c r="C1">
        <f>'Tiger Connector'!E8</f>
        <v>0</v>
      </c>
    </row>
    <row r="2" spans="1:17" x14ac:dyDescent="0.2">
      <c r="B2" t="s">
        <v>266</v>
      </c>
      <c r="C2" t="e">
        <f>'Surveillance Bridge'!D14/'Surveillance Bridge'!C11*C1</f>
        <v>#DIV/0!</v>
      </c>
    </row>
    <row r="3" spans="1:17" x14ac:dyDescent="0.2">
      <c r="B3" t="s">
        <v>268</v>
      </c>
      <c r="C3" t="e">
        <f>C1-C2</f>
        <v>#DIV/0!</v>
      </c>
    </row>
    <row r="4" spans="1:17" x14ac:dyDescent="0.2">
      <c r="B4" t="s">
        <v>276</v>
      </c>
      <c r="C4">
        <v>1</v>
      </c>
      <c r="D4" t="s">
        <v>277</v>
      </c>
    </row>
    <row r="5" spans="1:17" x14ac:dyDescent="0.2">
      <c r="B5" t="s">
        <v>278</v>
      </c>
      <c r="C5">
        <f>No_Cameras*24*30/Table_Split</f>
        <v>0</v>
      </c>
      <c r="D5" t="s">
        <v>279</v>
      </c>
    </row>
    <row r="7" spans="1:17" x14ac:dyDescent="0.2">
      <c r="B7">
        <v>1</v>
      </c>
      <c r="C7" t="e">
        <f>2+_xlfn.SINGLE(Region_Offset)</f>
        <v>#N/A</v>
      </c>
      <c r="D7" t="e">
        <f>C7+1</f>
        <v>#N/A</v>
      </c>
      <c r="E7" t="e">
        <f t="shared" ref="E7:I7" si="0">D7+1</f>
        <v>#N/A</v>
      </c>
      <c r="F7" t="e">
        <f t="shared" si="0"/>
        <v>#N/A</v>
      </c>
      <c r="G7" t="e">
        <f t="shared" si="0"/>
        <v>#N/A</v>
      </c>
      <c r="H7" t="e">
        <f t="shared" si="0"/>
        <v>#N/A</v>
      </c>
      <c r="I7" t="e">
        <f t="shared" si="0"/>
        <v>#N/A</v>
      </c>
    </row>
    <row r="8" spans="1:17" ht="19" x14ac:dyDescent="0.25">
      <c r="C8" s="257" t="s">
        <v>136</v>
      </c>
      <c r="D8" s="258"/>
      <c r="E8" s="258"/>
      <c r="F8" s="258"/>
      <c r="G8" s="258"/>
      <c r="H8" s="258"/>
      <c r="I8" s="259"/>
      <c r="J8" s="257" t="s">
        <v>137</v>
      </c>
      <c r="K8" s="258"/>
      <c r="L8" s="258"/>
      <c r="M8" s="258"/>
      <c r="N8" s="258"/>
      <c r="O8" s="258"/>
      <c r="P8" s="259"/>
    </row>
    <row r="9" spans="1:17" ht="68" x14ac:dyDescent="0.2">
      <c r="A9" s="168" t="s">
        <v>280</v>
      </c>
      <c r="B9" s="169" t="s">
        <v>281</v>
      </c>
      <c r="C9" s="169" t="s">
        <v>282</v>
      </c>
      <c r="D9" s="169" t="s">
        <v>283</v>
      </c>
      <c r="E9" s="169" t="s">
        <v>284</v>
      </c>
      <c r="F9" s="169" t="s">
        <v>285</v>
      </c>
      <c r="G9" s="170" t="s">
        <v>61</v>
      </c>
      <c r="H9" s="169" t="s">
        <v>150</v>
      </c>
      <c r="I9" s="171" t="s">
        <v>286</v>
      </c>
      <c r="J9" s="169" t="s">
        <v>282</v>
      </c>
      <c r="K9" s="169" t="s">
        <v>283</v>
      </c>
      <c r="L9" s="169" t="s">
        <v>284</v>
      </c>
      <c r="M9" s="169" t="s">
        <v>285</v>
      </c>
      <c r="N9" s="170" t="s">
        <v>61</v>
      </c>
      <c r="O9" s="169" t="s">
        <v>150</v>
      </c>
      <c r="P9" s="171" t="s">
        <v>286</v>
      </c>
    </row>
    <row r="10" spans="1:17" ht="32" x14ac:dyDescent="0.2">
      <c r="A10" s="18"/>
      <c r="B10" s="172" t="s">
        <v>136</v>
      </c>
      <c r="C10" s="173" t="s">
        <v>287</v>
      </c>
      <c r="D10" s="173" t="s">
        <v>287</v>
      </c>
      <c r="E10" s="173" t="s">
        <v>287</v>
      </c>
      <c r="F10" s="173" t="s">
        <v>288</v>
      </c>
      <c r="G10" s="174" t="s">
        <v>289</v>
      </c>
      <c r="H10" s="173" t="s">
        <v>289</v>
      </c>
      <c r="I10" s="175"/>
      <c r="J10" s="173" t="s">
        <v>287</v>
      </c>
      <c r="K10" s="173" t="s">
        <v>287</v>
      </c>
      <c r="L10" s="173" t="s">
        <v>287</v>
      </c>
      <c r="M10" s="173" t="s">
        <v>288</v>
      </c>
      <c r="N10" s="174" t="s">
        <v>289</v>
      </c>
      <c r="O10" s="173" t="s">
        <v>289</v>
      </c>
      <c r="P10" s="175"/>
    </row>
    <row r="11" spans="1:17" ht="16" x14ac:dyDescent="0.2">
      <c r="A11" s="18"/>
      <c r="B11" s="172" t="s">
        <v>290</v>
      </c>
      <c r="C11" s="173"/>
      <c r="D11" s="173"/>
      <c r="E11" s="173"/>
      <c r="F11" s="173"/>
      <c r="G11" s="176"/>
      <c r="H11" s="173"/>
      <c r="I11" s="175"/>
      <c r="J11" s="173"/>
      <c r="K11" s="173"/>
      <c r="L11" s="173"/>
      <c r="M11" s="173"/>
      <c r="N11" s="176"/>
      <c r="O11" s="173"/>
      <c r="P11" s="175"/>
    </row>
    <row r="12" spans="1:17" x14ac:dyDescent="0.2">
      <c r="A12" s="18"/>
      <c r="B12" t="s">
        <v>355</v>
      </c>
      <c r="C12" s="177">
        <v>0.05</v>
      </c>
      <c r="D12" s="177">
        <v>4.0000000000000001E-3</v>
      </c>
      <c r="E12" s="177"/>
      <c r="F12" s="177">
        <v>0</v>
      </c>
      <c r="G12" s="178">
        <v>2.3E-2</v>
      </c>
      <c r="H12" s="177">
        <v>0</v>
      </c>
      <c r="I12" s="179">
        <v>0</v>
      </c>
      <c r="J12" s="177">
        <v>0.05</v>
      </c>
      <c r="K12" s="177">
        <v>4.0000000000000001E-3</v>
      </c>
      <c r="L12" s="177"/>
      <c r="M12" s="177">
        <v>0</v>
      </c>
      <c r="N12" s="178">
        <v>2.3E-2</v>
      </c>
      <c r="O12" s="177">
        <v>0</v>
      </c>
      <c r="P12" s="179">
        <v>0</v>
      </c>
    </row>
    <row r="13" spans="1:17" x14ac:dyDescent="0.2">
      <c r="A13" s="18"/>
      <c r="B13" t="s">
        <v>354</v>
      </c>
      <c r="C13" s="180">
        <v>0.1</v>
      </c>
      <c r="D13" s="180">
        <v>0.01</v>
      </c>
      <c r="F13" s="180">
        <v>0.1</v>
      </c>
      <c r="G13" s="181">
        <v>1.2500000000000001E-2</v>
      </c>
      <c r="H13" s="180">
        <v>0.01</v>
      </c>
      <c r="I13" s="179">
        <v>30</v>
      </c>
      <c r="J13" s="180">
        <v>0.1</v>
      </c>
      <c r="K13" s="180">
        <v>0.01</v>
      </c>
      <c r="M13" s="180">
        <v>0.1</v>
      </c>
      <c r="N13" s="181">
        <v>1.2500000000000001E-2</v>
      </c>
      <c r="O13" s="180">
        <v>0.01</v>
      </c>
      <c r="P13" s="179">
        <v>30</v>
      </c>
    </row>
    <row r="14" spans="1:17" x14ac:dyDescent="0.2">
      <c r="A14" s="18"/>
      <c r="B14" t="s">
        <v>353</v>
      </c>
      <c r="C14" s="177">
        <v>0.2</v>
      </c>
      <c r="D14" s="177">
        <v>0.1</v>
      </c>
      <c r="E14" s="177"/>
      <c r="F14" s="177">
        <v>0.2</v>
      </c>
      <c r="G14" s="178">
        <v>4.0000000000000001E-3</v>
      </c>
      <c r="H14" s="177">
        <v>0.03</v>
      </c>
      <c r="I14" s="179">
        <v>90</v>
      </c>
      <c r="J14" s="177">
        <v>0.2</v>
      </c>
      <c r="K14" s="177">
        <v>0.1</v>
      </c>
      <c r="L14" s="177"/>
      <c r="M14" s="177">
        <v>0.2</v>
      </c>
      <c r="N14" s="178">
        <v>4.0000000000000001E-3</v>
      </c>
      <c r="O14" s="177">
        <v>0.03</v>
      </c>
      <c r="P14" s="179">
        <v>90</v>
      </c>
      <c r="Q14" s="182"/>
    </row>
    <row r="15" spans="1:17" x14ac:dyDescent="0.2">
      <c r="A15" s="18"/>
      <c r="B15" s="60" t="s">
        <v>291</v>
      </c>
      <c r="C15" s="183"/>
      <c r="D15" s="183"/>
      <c r="E15" s="183"/>
      <c r="F15" s="183"/>
      <c r="G15" s="184"/>
      <c r="H15" s="183">
        <v>0.09</v>
      </c>
      <c r="I15" s="185"/>
      <c r="J15" s="183"/>
      <c r="K15" s="183"/>
      <c r="L15" s="183"/>
      <c r="M15" s="183"/>
      <c r="N15" s="184"/>
      <c r="O15" s="183">
        <v>0.09</v>
      </c>
      <c r="P15" s="185"/>
    </row>
    <row r="16" spans="1:17" ht="32" x14ac:dyDescent="0.2">
      <c r="A16" s="18"/>
      <c r="B16" t="s">
        <v>225</v>
      </c>
      <c r="C16" s="173" t="s">
        <v>287</v>
      </c>
      <c r="D16" s="173" t="s">
        <v>287</v>
      </c>
      <c r="E16" s="173" t="s">
        <v>287</v>
      </c>
      <c r="F16" s="173" t="s">
        <v>288</v>
      </c>
      <c r="G16" s="174" t="s">
        <v>289</v>
      </c>
      <c r="H16" s="173" t="s">
        <v>289</v>
      </c>
      <c r="I16" s="175"/>
      <c r="J16" s="173" t="s">
        <v>287</v>
      </c>
      <c r="K16" s="173" t="s">
        <v>287</v>
      </c>
      <c r="L16" s="173" t="s">
        <v>287</v>
      </c>
      <c r="M16" s="173" t="s">
        <v>288</v>
      </c>
      <c r="N16" s="174" t="s">
        <v>289</v>
      </c>
      <c r="O16" s="173" t="s">
        <v>289</v>
      </c>
      <c r="P16" s="175"/>
    </row>
    <row r="17" spans="1:17" x14ac:dyDescent="0.2">
      <c r="A17" s="18"/>
      <c r="B17" s="1" t="s">
        <v>292</v>
      </c>
      <c r="C17" s="173"/>
      <c r="D17" s="173"/>
      <c r="E17" s="173"/>
      <c r="F17" s="173"/>
      <c r="G17" s="176"/>
      <c r="H17" s="173"/>
      <c r="I17" s="175"/>
      <c r="J17" s="173"/>
      <c r="K17" s="173"/>
      <c r="L17" s="173"/>
      <c r="M17" s="173"/>
      <c r="N17" s="176"/>
      <c r="O17" s="173"/>
      <c r="P17" s="175"/>
    </row>
    <row r="18" spans="1:17" x14ac:dyDescent="0.2">
      <c r="A18" s="18"/>
      <c r="B18" t="s">
        <v>353</v>
      </c>
      <c r="C18" s="177">
        <v>0.2</v>
      </c>
      <c r="D18" s="177">
        <v>0.1</v>
      </c>
      <c r="E18" s="177"/>
      <c r="F18" s="177">
        <v>0.2</v>
      </c>
      <c r="G18" s="178">
        <v>4.0000000000000001E-3</v>
      </c>
      <c r="H18" s="177">
        <v>0.03</v>
      </c>
      <c r="I18" s="179">
        <v>90</v>
      </c>
      <c r="J18" s="177">
        <v>0.2</v>
      </c>
      <c r="K18" s="177">
        <v>0.1</v>
      </c>
      <c r="L18" s="177"/>
      <c r="M18" s="177">
        <v>0.2</v>
      </c>
      <c r="N18" s="178">
        <v>4.0000000000000001E-3</v>
      </c>
      <c r="O18" s="177">
        <v>0.03</v>
      </c>
      <c r="P18" s="179">
        <v>90</v>
      </c>
    </row>
    <row r="19" spans="1:17" x14ac:dyDescent="0.2">
      <c r="A19" s="18"/>
      <c r="B19" t="s">
        <v>348</v>
      </c>
      <c r="C19" s="177">
        <v>0.3</v>
      </c>
      <c r="D19" s="177">
        <v>4.0000000000000001E-3</v>
      </c>
      <c r="E19" s="177">
        <v>100</v>
      </c>
      <c r="F19" s="177">
        <v>0.3</v>
      </c>
      <c r="G19" s="178">
        <v>3.5999999999999999E-3</v>
      </c>
      <c r="H19" s="177">
        <v>0.03</v>
      </c>
      <c r="I19" s="179">
        <v>90</v>
      </c>
      <c r="J19" s="177">
        <v>0.3</v>
      </c>
      <c r="K19" s="177">
        <v>4.0000000000000001E-3</v>
      </c>
      <c r="L19" s="177">
        <v>100</v>
      </c>
      <c r="M19" s="177">
        <v>0.3</v>
      </c>
      <c r="N19" s="178">
        <v>3.5999999999999999E-3</v>
      </c>
      <c r="O19" s="177">
        <v>0.03</v>
      </c>
      <c r="P19" s="179">
        <v>90</v>
      </c>
    </row>
    <row r="20" spans="1:17" x14ac:dyDescent="0.2">
      <c r="A20" s="18"/>
      <c r="B20" t="s">
        <v>349</v>
      </c>
      <c r="C20" s="177">
        <v>0.3</v>
      </c>
      <c r="D20" s="177">
        <v>4.0000000000000001E-3</v>
      </c>
      <c r="E20" s="177">
        <v>0.5</v>
      </c>
      <c r="F20" s="177">
        <v>0.3</v>
      </c>
      <c r="G20" s="178">
        <v>3.5999999999999999E-3</v>
      </c>
      <c r="H20" s="177">
        <v>0.01</v>
      </c>
      <c r="I20" s="179">
        <v>90</v>
      </c>
      <c r="J20" s="177">
        <v>0.3</v>
      </c>
      <c r="K20" s="177">
        <v>4.0000000000000001E-3</v>
      </c>
      <c r="L20" s="177">
        <v>0.5</v>
      </c>
      <c r="M20" s="177">
        <v>0.3</v>
      </c>
      <c r="N20" s="178">
        <v>3.5999999999999999E-3</v>
      </c>
      <c r="O20" s="177">
        <v>0.01</v>
      </c>
      <c r="P20" s="179">
        <v>90</v>
      </c>
    </row>
    <row r="21" spans="1:17" x14ac:dyDescent="0.2">
      <c r="A21" s="18"/>
      <c r="B21" t="s">
        <v>350</v>
      </c>
      <c r="C21" s="177">
        <v>0.3</v>
      </c>
      <c r="D21" s="177">
        <v>4.0000000000000001E-3</v>
      </c>
      <c r="E21" s="177">
        <v>0</v>
      </c>
      <c r="F21" s="177">
        <v>0.3</v>
      </c>
      <c r="G21" s="178">
        <v>3.5999999999999999E-3</v>
      </c>
      <c r="H21" s="177">
        <v>0</v>
      </c>
      <c r="I21" s="179">
        <v>90</v>
      </c>
      <c r="J21" s="177">
        <v>0.3</v>
      </c>
      <c r="K21" s="177">
        <v>4.0000000000000001E-3</v>
      </c>
      <c r="L21" s="177">
        <v>0</v>
      </c>
      <c r="M21" s="177">
        <v>0.3</v>
      </c>
      <c r="N21" s="178">
        <v>3.5999999999999999E-3</v>
      </c>
      <c r="O21" s="177">
        <v>0</v>
      </c>
      <c r="P21" s="179">
        <v>90</v>
      </c>
    </row>
    <row r="22" spans="1:17" x14ac:dyDescent="0.2">
      <c r="A22" s="18"/>
      <c r="B22" t="s">
        <v>351</v>
      </c>
      <c r="C22" s="177">
        <v>0.5</v>
      </c>
      <c r="D22" s="177">
        <v>4.0000000000000001E-3</v>
      </c>
      <c r="E22" s="177">
        <v>1</v>
      </c>
      <c r="F22" s="177">
        <v>0.5</v>
      </c>
      <c r="G22" s="178">
        <v>9.8999999999999999E-4</v>
      </c>
      <c r="H22" s="177">
        <v>0.02</v>
      </c>
      <c r="I22" s="179">
        <v>180</v>
      </c>
      <c r="J22" s="177">
        <v>0.5</v>
      </c>
      <c r="K22" s="177">
        <v>4.0000000000000001E-3</v>
      </c>
      <c r="L22" s="177">
        <v>1</v>
      </c>
      <c r="M22" s="177">
        <v>0.5</v>
      </c>
      <c r="N22" s="178">
        <v>9.8999999999999999E-4</v>
      </c>
      <c r="O22" s="177">
        <v>0.02</v>
      </c>
      <c r="P22" s="179">
        <v>180</v>
      </c>
    </row>
    <row r="23" spans="1:17" x14ac:dyDescent="0.2">
      <c r="A23" s="18"/>
      <c r="B23" t="s">
        <v>352</v>
      </c>
      <c r="C23" s="177">
        <v>0.5</v>
      </c>
      <c r="D23" s="177">
        <v>4.0000000000000001E-3</v>
      </c>
      <c r="E23" s="177">
        <v>0.25</v>
      </c>
      <c r="F23" s="177">
        <v>0.5</v>
      </c>
      <c r="G23" s="178">
        <v>9.8999999999999999E-4</v>
      </c>
      <c r="H23" s="177">
        <v>2.5000000000000001E-3</v>
      </c>
      <c r="I23" s="179">
        <v>180</v>
      </c>
      <c r="J23" s="177">
        <v>0.5</v>
      </c>
      <c r="K23" s="177">
        <v>4.0000000000000001E-3</v>
      </c>
      <c r="L23" s="177">
        <v>0.25</v>
      </c>
      <c r="M23" s="177">
        <v>0.5</v>
      </c>
      <c r="N23" s="178">
        <v>9.8999999999999999E-4</v>
      </c>
      <c r="O23" s="177">
        <v>2.5000000000000001E-3</v>
      </c>
      <c r="P23" s="179">
        <v>180</v>
      </c>
      <c r="Q23" s="182"/>
    </row>
    <row r="24" spans="1:17" x14ac:dyDescent="0.2">
      <c r="A24" s="18"/>
      <c r="B24" s="60" t="s">
        <v>291</v>
      </c>
      <c r="C24" s="183"/>
      <c r="D24" s="183"/>
      <c r="E24" s="183"/>
      <c r="F24" s="183"/>
      <c r="G24" s="184"/>
      <c r="H24" s="186">
        <v>0.09</v>
      </c>
      <c r="I24" s="185"/>
      <c r="J24" s="186"/>
      <c r="K24" s="186"/>
      <c r="L24" s="186"/>
      <c r="M24" s="186"/>
      <c r="N24" s="187"/>
      <c r="O24" s="186">
        <v>0.09</v>
      </c>
      <c r="P24" s="185"/>
    </row>
    <row r="25" spans="1:17" ht="16" x14ac:dyDescent="0.2">
      <c r="A25" s="18"/>
      <c r="B25" s="172" t="s">
        <v>293</v>
      </c>
      <c r="C25" s="188" t="e">
        <f t="shared" ref="C25:I25" si="1">VLOOKUP(Selected_Immediate_Tier,AWS_Immediate_Tier,C7,FALSE)</f>
        <v>#REF!</v>
      </c>
      <c r="D25" s="188" t="e">
        <f t="shared" si="1"/>
        <v>#REF!</v>
      </c>
      <c r="E25" s="188" t="e">
        <f t="shared" si="1"/>
        <v>#REF!</v>
      </c>
      <c r="F25" s="188" t="e">
        <f t="shared" si="1"/>
        <v>#REF!</v>
      </c>
      <c r="G25" s="189" t="e">
        <f t="shared" si="1"/>
        <v>#REF!</v>
      </c>
      <c r="H25" s="190" t="e">
        <f t="shared" si="1"/>
        <v>#REF!</v>
      </c>
      <c r="I25" s="191" t="e">
        <f t="shared" si="1"/>
        <v>#REF!</v>
      </c>
      <c r="J25" s="192" t="e">
        <f ca="1">OFFSET(H24,0,_xlfn.SINGLE(Region_Offset))*Percentage_OnPremises</f>
        <v>#N/A</v>
      </c>
      <c r="K25" s="188"/>
      <c r="L25" s="188"/>
      <c r="M25" s="188"/>
      <c r="N25" s="188"/>
      <c r="O25" s="188"/>
      <c r="P25" s="179"/>
    </row>
    <row r="26" spans="1:17" ht="16" x14ac:dyDescent="0.2">
      <c r="A26" s="18"/>
      <c r="B26" s="172" t="s">
        <v>294</v>
      </c>
      <c r="C26" s="188" t="e">
        <f t="shared" ref="C26:I26" si="2">VLOOKUP(Selected_Archive_tier,AWS_Archive_Tier,C7,FALSE)</f>
        <v>#REF!</v>
      </c>
      <c r="D26" s="188" t="e">
        <f t="shared" si="2"/>
        <v>#REF!</v>
      </c>
      <c r="E26" s="188" t="e">
        <f t="shared" si="2"/>
        <v>#REF!</v>
      </c>
      <c r="F26" s="188" t="e">
        <f t="shared" si="2"/>
        <v>#REF!</v>
      </c>
      <c r="G26" s="193" t="e">
        <f t="shared" si="2"/>
        <v>#REF!</v>
      </c>
      <c r="H26" s="194" t="e">
        <f t="shared" si="2"/>
        <v>#REF!</v>
      </c>
      <c r="I26" s="195" t="e">
        <f t="shared" si="2"/>
        <v>#REF!</v>
      </c>
      <c r="J26" s="192" t="e">
        <f ca="1">OFFSET(H24,0,_xlfn.SINGLE(Region_Offset))*Percentage_OnPremises</f>
        <v>#N/A</v>
      </c>
      <c r="K26" s="188"/>
      <c r="L26" s="188"/>
      <c r="M26" s="188"/>
      <c r="N26" s="188"/>
      <c r="O26" s="188"/>
      <c r="P26" s="179"/>
    </row>
    <row r="27" spans="1:17" ht="16" x14ac:dyDescent="0.2">
      <c r="A27" s="18"/>
      <c r="B27" s="196" t="s">
        <v>295</v>
      </c>
      <c r="C27" s="57"/>
      <c r="D27" s="57"/>
      <c r="E27" s="57"/>
      <c r="F27" s="57"/>
      <c r="H27" s="188"/>
      <c r="I27" s="24"/>
    </row>
    <row r="28" spans="1:17" ht="16" x14ac:dyDescent="0.2">
      <c r="A28" s="18"/>
      <c r="B28" s="197" t="s">
        <v>296</v>
      </c>
      <c r="C28" s="198">
        <v>2</v>
      </c>
      <c r="D28" s="198">
        <v>0</v>
      </c>
      <c r="E28" s="24">
        <v>0</v>
      </c>
      <c r="F28" s="198">
        <v>0</v>
      </c>
      <c r="H28" s="188"/>
      <c r="I28" s="24"/>
    </row>
    <row r="29" spans="1:17" x14ac:dyDescent="0.2">
      <c r="A29" s="18"/>
      <c r="B29" s="197" t="s">
        <v>297</v>
      </c>
      <c r="C29" s="198">
        <v>2</v>
      </c>
      <c r="D29" s="198">
        <v>1</v>
      </c>
      <c r="E29" s="24">
        <v>0</v>
      </c>
      <c r="F29" s="198">
        <v>0</v>
      </c>
      <c r="G29" s="197"/>
      <c r="I29" s="24"/>
    </row>
    <row r="30" spans="1:17" x14ac:dyDescent="0.2">
      <c r="A30" s="18"/>
      <c r="B30" s="197" t="s">
        <v>298</v>
      </c>
      <c r="C30" s="198">
        <v>1</v>
      </c>
      <c r="D30" s="198">
        <v>0</v>
      </c>
      <c r="E30" s="24">
        <v>0</v>
      </c>
      <c r="F30" s="198">
        <v>0</v>
      </c>
      <c r="G30" s="197"/>
      <c r="I30" s="24"/>
    </row>
    <row r="31" spans="1:17" x14ac:dyDescent="0.2">
      <c r="A31" s="18"/>
      <c r="B31" s="197" t="s">
        <v>299</v>
      </c>
      <c r="C31" s="198">
        <v>0</v>
      </c>
      <c r="D31" s="198">
        <v>1</v>
      </c>
      <c r="E31" s="24">
        <v>0</v>
      </c>
      <c r="F31" s="198">
        <v>0</v>
      </c>
      <c r="G31" s="197"/>
      <c r="I31" s="24"/>
    </row>
    <row r="32" spans="1:17" x14ac:dyDescent="0.2">
      <c r="A32" s="18"/>
      <c r="B32" s="197" t="s">
        <v>300</v>
      </c>
      <c r="C32" s="198">
        <v>0</v>
      </c>
      <c r="D32" s="198">
        <v>2</v>
      </c>
      <c r="E32" s="24">
        <v>0</v>
      </c>
      <c r="F32" s="198">
        <v>0</v>
      </c>
      <c r="G32" s="197"/>
      <c r="I32" s="24"/>
    </row>
    <row r="33" spans="1:13" x14ac:dyDescent="0.2">
      <c r="A33" s="18"/>
      <c r="B33" s="197" t="s">
        <v>301</v>
      </c>
      <c r="C33" s="198">
        <v>0</v>
      </c>
      <c r="D33" s="198">
        <v>2</v>
      </c>
      <c r="E33" s="24">
        <v>0</v>
      </c>
      <c r="F33" s="198">
        <v>1</v>
      </c>
      <c r="G33" s="197"/>
      <c r="I33" s="24"/>
    </row>
    <row r="34" spans="1:13" x14ac:dyDescent="0.2">
      <c r="A34" s="18"/>
      <c r="B34" s="199" t="s">
        <v>302</v>
      </c>
      <c r="C34" s="200">
        <v>0</v>
      </c>
      <c r="D34" s="200">
        <v>0</v>
      </c>
      <c r="E34" s="201">
        <v>0</v>
      </c>
      <c r="F34" s="201">
        <v>0</v>
      </c>
      <c r="G34" s="197"/>
      <c r="I34" s="24"/>
    </row>
    <row r="35" spans="1:13" x14ac:dyDescent="0.2">
      <c r="A35" s="19"/>
      <c r="B35" s="199"/>
      <c r="C35" s="200"/>
      <c r="D35" s="200"/>
      <c r="E35" s="201"/>
      <c r="F35" s="201"/>
      <c r="I35" s="24"/>
    </row>
    <row r="36" spans="1:13" x14ac:dyDescent="0.2">
      <c r="B36" s="202" t="s">
        <v>303</v>
      </c>
      <c r="C36" s="203" t="s">
        <v>95</v>
      </c>
      <c r="D36" s="203" t="s">
        <v>304</v>
      </c>
    </row>
    <row r="37" spans="1:13" x14ac:dyDescent="0.2">
      <c r="B37" s="204"/>
      <c r="C37" s="205">
        <v>2</v>
      </c>
      <c r="D37" s="206">
        <v>0</v>
      </c>
    </row>
    <row r="38" spans="1:13" x14ac:dyDescent="0.2">
      <c r="B38" s="204"/>
      <c r="C38" s="206">
        <v>3</v>
      </c>
      <c r="D38" s="206">
        <v>7</v>
      </c>
    </row>
    <row r="39" spans="1:13" ht="16" thickBot="1" x14ac:dyDescent="0.25">
      <c r="B39" s="66" t="str">
        <f>Region_Name</f>
        <v>Select Region</v>
      </c>
      <c r="C39" s="207">
        <f>Region</f>
        <v>1</v>
      </c>
      <c r="D39" s="207" t="e">
        <f>VLOOKUP(Region,C37:D38,2,FALSE)</f>
        <v>#N/A</v>
      </c>
    </row>
    <row r="40" spans="1:13" ht="16" thickTop="1" x14ac:dyDescent="0.2"/>
    <row r="45" spans="1:13" x14ac:dyDescent="0.2">
      <c r="I45" s="25"/>
      <c r="L45" s="25"/>
    </row>
    <row r="46" spans="1:13" ht="35" customHeight="1" x14ac:dyDescent="0.2">
      <c r="C46" s="172" t="s">
        <v>305</v>
      </c>
      <c r="D46" s="172" t="s">
        <v>306</v>
      </c>
      <c r="E46" s="172" t="s">
        <v>307</v>
      </c>
      <c r="F46" s="172" t="s">
        <v>308</v>
      </c>
      <c r="G46" s="172" t="s">
        <v>309</v>
      </c>
      <c r="H46" s="208" t="s">
        <v>310</v>
      </c>
      <c r="I46" s="209" t="s">
        <v>311</v>
      </c>
      <c r="J46" s="210" t="s">
        <v>312</v>
      </c>
      <c r="K46" s="209" t="s">
        <v>313</v>
      </c>
      <c r="L46" s="211" t="s">
        <v>314</v>
      </c>
      <c r="M46" s="212" t="s">
        <v>315</v>
      </c>
    </row>
    <row r="47" spans="1:13" ht="16" x14ac:dyDescent="0.2">
      <c r="C47" s="213">
        <v>1</v>
      </c>
      <c r="D47" s="213">
        <v>1024</v>
      </c>
      <c r="E47" s="213">
        <v>1024</v>
      </c>
      <c r="F47" s="213">
        <v>1024</v>
      </c>
      <c r="G47" s="214" t="e" cm="1">
        <f t="array" ref="G47">Immediate_Tier_capacity_required</f>
        <v>#DIV/0!</v>
      </c>
      <c r="H47" s="214"/>
      <c r="I47" s="215"/>
      <c r="K47" s="24"/>
      <c r="L47" s="17" t="s">
        <v>286</v>
      </c>
      <c r="M47" s="216" t="e">
        <f>I25</f>
        <v>#REF!</v>
      </c>
    </row>
    <row r="48" spans="1:13" x14ac:dyDescent="0.2">
      <c r="B48" s="66" t="s">
        <v>316</v>
      </c>
      <c r="C48">
        <f>C62</f>
        <v>16</v>
      </c>
      <c r="D48">
        <f>D47/C48</f>
        <v>64</v>
      </c>
      <c r="E48">
        <f>D48*E47</f>
        <v>65536</v>
      </c>
      <c r="F48">
        <f>E48*F47</f>
        <v>67108864</v>
      </c>
      <c r="G48" s="217" t="e">
        <f>F48*G47/1024</f>
        <v>#DIV/0!</v>
      </c>
      <c r="H48" s="25" t="e">
        <f>G48/10000</f>
        <v>#DIV/0!</v>
      </c>
      <c r="I48" s="22">
        <v>1</v>
      </c>
      <c r="J48" s="217" t="e">
        <f>G47*1024*I48</f>
        <v>#DIV/0!</v>
      </c>
      <c r="K48" s="24"/>
      <c r="L48" s="18" t="s">
        <v>317</v>
      </c>
      <c r="M48" s="218">
        <f t="shared" ref="M48" si="3">IFERROR(IF(Nearline_retention_period&lt;M47,M47/Nearline_retention_period,1),1)</f>
        <v>1</v>
      </c>
    </row>
    <row r="49" spans="1:13" ht="16" x14ac:dyDescent="0.2">
      <c r="H49" s="217" t="e">
        <f>H48*I49</f>
        <v>#DIV/0!</v>
      </c>
      <c r="I49" s="22" t="e" cm="1">
        <f t="array" ref="I49">Percentage_of_material_being_reviewed</f>
        <v>#VALUE!</v>
      </c>
      <c r="J49" s="217" t="e">
        <f>G47*1024*I49</f>
        <v>#DIV/0!</v>
      </c>
      <c r="K49" s="219"/>
      <c r="L49" s="18" t="s">
        <v>318</v>
      </c>
      <c r="M49" s="220" t="e">
        <f>J48*G25*M48</f>
        <v>#DIV/0!</v>
      </c>
    </row>
    <row r="50" spans="1:13" x14ac:dyDescent="0.2">
      <c r="H50" s="25"/>
      <c r="I50" s="22">
        <v>0</v>
      </c>
      <c r="J50" s="217">
        <v>0</v>
      </c>
      <c r="K50" s="24"/>
      <c r="L50" s="18" t="s">
        <v>319</v>
      </c>
      <c r="M50" s="220" t="e">
        <f>J49*H25</f>
        <v>#DIV/0!</v>
      </c>
    </row>
    <row r="51" spans="1:13" x14ac:dyDescent="0.2">
      <c r="H51" s="25"/>
      <c r="I51" s="22"/>
      <c r="J51" s="217"/>
      <c r="K51" s="24"/>
      <c r="L51" s="19" t="s">
        <v>150</v>
      </c>
      <c r="M51" s="221" t="e">
        <f ca="1">J49*J25</f>
        <v>#DIV/0!</v>
      </c>
    </row>
    <row r="52" spans="1:13" ht="16" x14ac:dyDescent="0.2">
      <c r="G52" s="172" t="s">
        <v>320</v>
      </c>
      <c r="H52" s="25"/>
      <c r="I52" s="25"/>
      <c r="J52" s="217"/>
      <c r="K52" s="24" t="b">
        <v>1</v>
      </c>
      <c r="L52" s="222" t="s">
        <v>296</v>
      </c>
      <c r="M52" s="220" t="e">
        <f t="shared" ref="M52:M58" si="4">IF($K52,C28*C$25+D28*D$25+E28*E$25+F28*F$25,0)*H$48</f>
        <v>#REF!</v>
      </c>
    </row>
    <row r="53" spans="1:13" x14ac:dyDescent="0.2">
      <c r="G53" s="217" cm="1">
        <f t="array" ref="G53">Number_of_folders</f>
        <v>0</v>
      </c>
      <c r="H53" s="217">
        <f>G53/10000</f>
        <v>0</v>
      </c>
      <c r="I53" s="25"/>
      <c r="J53" s="217"/>
      <c r="K53" s="223" t="b">
        <v>0</v>
      </c>
      <c r="L53" s="222" t="s">
        <v>297</v>
      </c>
      <c r="M53" s="220" t="e">
        <f t="shared" si="4"/>
        <v>#DIV/0!</v>
      </c>
    </row>
    <row r="54" spans="1:13" x14ac:dyDescent="0.2">
      <c r="H54" s="25"/>
      <c r="I54" s="25"/>
      <c r="J54" s="217"/>
      <c r="K54" s="24" t="b">
        <v>1</v>
      </c>
      <c r="L54" s="222" t="s">
        <v>298</v>
      </c>
      <c r="M54" s="220" t="e">
        <f t="shared" si="4"/>
        <v>#REF!</v>
      </c>
    </row>
    <row r="55" spans="1:13" x14ac:dyDescent="0.2">
      <c r="H55" s="25"/>
      <c r="I55" s="25"/>
      <c r="J55" s="217"/>
      <c r="K55" s="223" t="b">
        <v>1</v>
      </c>
      <c r="L55" s="222" t="s">
        <v>299</v>
      </c>
      <c r="M55" s="220" t="e">
        <f t="shared" si="4"/>
        <v>#REF!</v>
      </c>
    </row>
    <row r="56" spans="1:13" x14ac:dyDescent="0.2">
      <c r="H56" s="25"/>
      <c r="I56" s="25"/>
      <c r="J56" s="217"/>
      <c r="K56" s="24" t="b">
        <v>0</v>
      </c>
      <c r="L56" s="222" t="s">
        <v>300</v>
      </c>
      <c r="M56" s="220" t="e">
        <f t="shared" si="4"/>
        <v>#DIV/0!</v>
      </c>
    </row>
    <row r="57" spans="1:13" x14ac:dyDescent="0.2">
      <c r="H57" s="25"/>
      <c r="I57" s="25"/>
      <c r="J57" s="217"/>
      <c r="K57" s="24" t="b">
        <v>1</v>
      </c>
      <c r="L57" s="222" t="s">
        <v>301</v>
      </c>
      <c r="M57" s="220" t="e">
        <f t="shared" si="4"/>
        <v>#REF!</v>
      </c>
    </row>
    <row r="58" spans="1:13" x14ac:dyDescent="0.2">
      <c r="H58" s="25"/>
      <c r="I58" s="25"/>
      <c r="J58" s="217"/>
      <c r="K58" s="24" t="b">
        <v>1</v>
      </c>
      <c r="L58" s="224" t="s">
        <v>302</v>
      </c>
      <c r="M58" s="220" t="e">
        <f t="shared" si="4"/>
        <v>#REF!</v>
      </c>
    </row>
    <row r="59" spans="1:13" ht="16" x14ac:dyDescent="0.2">
      <c r="A59" t="s">
        <v>196</v>
      </c>
      <c r="H59" s="25"/>
      <c r="I59" s="25"/>
      <c r="J59" s="217"/>
      <c r="M59" s="225" t="e">
        <f>SUM(M49:M58)</f>
        <v>#DIV/0!</v>
      </c>
    </row>
    <row r="60" spans="1:13" ht="16" x14ac:dyDescent="0.2">
      <c r="C60" s="172" t="s">
        <v>305</v>
      </c>
      <c r="D60" s="172" t="s">
        <v>306</v>
      </c>
      <c r="E60" s="172" t="s">
        <v>307</v>
      </c>
      <c r="F60" s="172" t="s">
        <v>308</v>
      </c>
      <c r="G60" s="172" t="s">
        <v>309</v>
      </c>
      <c r="H60" s="226"/>
      <c r="I60" s="172" t="s">
        <v>321</v>
      </c>
      <c r="J60" s="227" t="s">
        <v>322</v>
      </c>
    </row>
    <row r="61" spans="1:13" ht="17" x14ac:dyDescent="0.2">
      <c r="C61" s="213">
        <v>1</v>
      </c>
      <c r="D61" s="213">
        <v>1024</v>
      </c>
      <c r="E61" s="213">
        <v>1024</v>
      </c>
      <c r="F61" s="213">
        <v>1024</v>
      </c>
      <c r="G61" s="214" t="e" cm="1">
        <f t="array" ref="G61">Archive_Tier_capacity_required</f>
        <v>#DIV/0!</v>
      </c>
      <c r="H61" s="228"/>
      <c r="I61" s="215"/>
      <c r="J61" s="217"/>
      <c r="K61" s="172"/>
      <c r="M61" s="229" t="s">
        <v>323</v>
      </c>
    </row>
    <row r="62" spans="1:13" x14ac:dyDescent="0.2">
      <c r="B62" s="66" t="s">
        <v>316</v>
      </c>
      <c r="C62">
        <f>'Surveillance Bridge'!C28</f>
        <v>16</v>
      </c>
      <c r="D62">
        <f>D61/C62</f>
        <v>64</v>
      </c>
      <c r="E62">
        <f>D62*E61</f>
        <v>65536</v>
      </c>
      <c r="F62">
        <f>E62*F61</f>
        <v>67108864</v>
      </c>
      <c r="G62" s="217" t="e">
        <f>F62*G61/1024</f>
        <v>#DIV/0!</v>
      </c>
      <c r="H62" s="217" t="e">
        <f>G62/10000</f>
        <v>#DIV/0!</v>
      </c>
      <c r="I62" s="22">
        <v>1</v>
      </c>
      <c r="J62" s="217" t="e">
        <f>G61*1024*I62</f>
        <v>#DIV/0!</v>
      </c>
      <c r="L62" s="17" t="s">
        <v>286</v>
      </c>
      <c r="M62" s="216" t="e">
        <f>I26</f>
        <v>#REF!</v>
      </c>
    </row>
    <row r="63" spans="1:13" x14ac:dyDescent="0.2">
      <c r="H63" s="217" t="e">
        <f>H62*I63</f>
        <v>#DIV/0!</v>
      </c>
      <c r="I63" s="22" t="e">
        <f>_xlfn.SINGLE(Percentage_of_material_being_reviewed)</f>
        <v>#VALUE!</v>
      </c>
      <c r="J63" s="217" t="e">
        <f>G61*1024*I63</f>
        <v>#DIV/0!</v>
      </c>
      <c r="K63" s="217"/>
      <c r="L63" s="18" t="s">
        <v>317</v>
      </c>
      <c r="M63" s="218">
        <f t="shared" ref="M63" si="5">IFERROR(IF(Archive__retention_period&lt;M62,M62/Archive__retention_period,1),1)</f>
        <v>1</v>
      </c>
    </row>
    <row r="64" spans="1:13" ht="16" x14ac:dyDescent="0.2">
      <c r="B64" s="230" t="s">
        <v>324</v>
      </c>
      <c r="K64" s="217"/>
      <c r="L64" s="18" t="s">
        <v>318</v>
      </c>
      <c r="M64" s="220" t="e">
        <f>J62*G26*M63</f>
        <v>#DIV/0!</v>
      </c>
    </row>
    <row r="65" spans="2:13" x14ac:dyDescent="0.2">
      <c r="B65" t="s">
        <v>325</v>
      </c>
      <c r="L65" s="18" t="s">
        <v>319</v>
      </c>
      <c r="M65" s="220" t="e">
        <f>J63*H26</f>
        <v>#DIV/0!</v>
      </c>
    </row>
    <row r="66" spans="2:13" x14ac:dyDescent="0.2">
      <c r="B66" t="s">
        <v>326</v>
      </c>
      <c r="L66" s="19" t="s">
        <v>150</v>
      </c>
      <c r="M66" s="221" t="e">
        <f ca="1">J63*J26</f>
        <v>#DIV/0!</v>
      </c>
    </row>
    <row r="67" spans="2:13" x14ac:dyDescent="0.2">
      <c r="K67" s="24" t="b">
        <f>IF(Nearline_retention_period,FALSE,TRUE)</f>
        <v>0</v>
      </c>
      <c r="L67" s="222" t="s">
        <v>296</v>
      </c>
      <c r="M67" s="220" t="e">
        <f t="shared" ref="M67:M73" si="6">IF($K67,C28*C$26+D28*D$26+E28*E$26+F28*F$26,0)*$H$62</f>
        <v>#DIV/0!</v>
      </c>
    </row>
    <row r="68" spans="2:13" x14ac:dyDescent="0.2">
      <c r="K68" s="223" t="b">
        <v>0</v>
      </c>
      <c r="L68" s="222" t="s">
        <v>297</v>
      </c>
      <c r="M68" s="220" t="e">
        <f t="shared" si="6"/>
        <v>#DIV/0!</v>
      </c>
    </row>
    <row r="69" spans="2:13" x14ac:dyDescent="0.2">
      <c r="K69" s="24" t="b">
        <f>IF(Nearline_retention_period,FALSE,TRUE)</f>
        <v>0</v>
      </c>
      <c r="L69" s="222" t="s">
        <v>298</v>
      </c>
      <c r="M69" s="220" t="e">
        <f t="shared" si="6"/>
        <v>#DIV/0!</v>
      </c>
    </row>
    <row r="70" spans="2:13" x14ac:dyDescent="0.2">
      <c r="K70" s="223" t="b">
        <v>1</v>
      </c>
      <c r="L70" s="222" t="s">
        <v>299</v>
      </c>
      <c r="M70" s="220" t="e">
        <f t="shared" si="6"/>
        <v>#REF!</v>
      </c>
    </row>
    <row r="71" spans="2:13" x14ac:dyDescent="0.2">
      <c r="K71" s="24" t="b">
        <v>0</v>
      </c>
      <c r="L71" s="222" t="s">
        <v>300</v>
      </c>
      <c r="M71" s="220" t="e">
        <f t="shared" si="6"/>
        <v>#DIV/0!</v>
      </c>
    </row>
    <row r="72" spans="2:13" x14ac:dyDescent="0.2">
      <c r="K72" s="24" t="b">
        <f>IF(Nearline_retention_period,FALSE,TRUE)</f>
        <v>0</v>
      </c>
      <c r="L72" s="222" t="s">
        <v>301</v>
      </c>
      <c r="M72" s="220" t="e">
        <f t="shared" si="6"/>
        <v>#DIV/0!</v>
      </c>
    </row>
    <row r="73" spans="2:13" ht="16" x14ac:dyDescent="0.2">
      <c r="B73" s="231"/>
      <c r="K73" s="24" t="b">
        <v>1</v>
      </c>
      <c r="L73" s="224" t="s">
        <v>302</v>
      </c>
      <c r="M73" s="221" t="e">
        <f t="shared" si="6"/>
        <v>#REF!</v>
      </c>
    </row>
    <row r="74" spans="2:13" ht="16" x14ac:dyDescent="0.2">
      <c r="M74" s="225" t="e">
        <f>SUM(M64:M73)</f>
        <v>#DIV/0!</v>
      </c>
    </row>
    <row r="79" spans="2:13" x14ac:dyDescent="0.2">
      <c r="B79" s="232" t="s">
        <v>327</v>
      </c>
      <c r="C79" s="233"/>
    </row>
    <row r="80" spans="2:13" ht="16" x14ac:dyDescent="0.2">
      <c r="B80" s="165" t="s">
        <v>266</v>
      </c>
      <c r="C80" s="234" t="str">
        <f>'Surveillance Bridge'!N37</f>
        <v/>
      </c>
    </row>
    <row r="81" spans="2:3" ht="16" x14ac:dyDescent="0.2">
      <c r="B81" s="165" t="s">
        <v>268</v>
      </c>
      <c r="C81" s="234" t="str">
        <f>'Surveillance Bridge'!N40</f>
        <v/>
      </c>
    </row>
    <row r="85" spans="2:3" x14ac:dyDescent="0.2">
      <c r="B85" s="232" t="s">
        <v>328</v>
      </c>
      <c r="C85" s="233"/>
    </row>
    <row r="86" spans="2:3" x14ac:dyDescent="0.2">
      <c r="B86" t="s">
        <v>105</v>
      </c>
      <c r="C86" s="66">
        <f>No_Operators</f>
        <v>0</v>
      </c>
    </row>
    <row r="87" spans="2:3" x14ac:dyDescent="0.2">
      <c r="B87" t="s">
        <v>329</v>
      </c>
      <c r="C87" s="66">
        <f>Daily_Usage</f>
        <v>0</v>
      </c>
    </row>
    <row r="88" spans="2:3" x14ac:dyDescent="0.2">
      <c r="B88" t="s">
        <v>330</v>
      </c>
      <c r="C88" s="66" t="str">
        <f>Viewed_Cameras</f>
        <v>Select number of video streams</v>
      </c>
    </row>
    <row r="89" spans="2:3" x14ac:dyDescent="0.2">
      <c r="B89" t="s">
        <v>331</v>
      </c>
      <c r="C89" t="e">
        <f>24*30*No_Cameras*Rec_degree</f>
        <v>#VALUE!</v>
      </c>
    </row>
    <row r="90" spans="2:3" x14ac:dyDescent="0.2">
      <c r="B90" t="s">
        <v>332</v>
      </c>
      <c r="C90" t="e">
        <f>C86*C87*C88*30</f>
        <v>#VALUE!</v>
      </c>
    </row>
    <row r="91" spans="2:3" x14ac:dyDescent="0.2">
      <c r="B91" t="s">
        <v>328</v>
      </c>
      <c r="C91" s="235" t="e">
        <f>C90/C89</f>
        <v>#VALUE!</v>
      </c>
    </row>
    <row r="136" spans="10:10" ht="16" x14ac:dyDescent="0.2">
      <c r="J136" s="236"/>
    </row>
    <row r="137" spans="10:10" x14ac:dyDescent="0.2">
      <c r="J137" s="223"/>
    </row>
    <row r="138" spans="10:10" x14ac:dyDescent="0.2">
      <c r="J138" s="223"/>
    </row>
    <row r="139" spans="10:10" x14ac:dyDescent="0.2">
      <c r="J139" s="237"/>
    </row>
    <row r="140" spans="10:10" x14ac:dyDescent="0.2">
      <c r="J140" s="237"/>
    </row>
    <row r="141" spans="10:10" x14ac:dyDescent="0.2">
      <c r="J141" s="237"/>
    </row>
    <row r="142" spans="10:10" x14ac:dyDescent="0.2">
      <c r="J142" s="237"/>
    </row>
    <row r="143" spans="10:10" x14ac:dyDescent="0.2">
      <c r="J143" s="237"/>
    </row>
    <row r="144" spans="10:10" x14ac:dyDescent="0.2">
      <c r="J144" s="237"/>
    </row>
    <row r="145" spans="10:10" x14ac:dyDescent="0.2">
      <c r="J145" s="237"/>
    </row>
    <row r="146" spans="10:10" x14ac:dyDescent="0.2">
      <c r="J146" s="237"/>
    </row>
    <row r="147" spans="10:10" x14ac:dyDescent="0.2">
      <c r="J147" s="24"/>
    </row>
    <row r="148" spans="10:10" x14ac:dyDescent="0.2">
      <c r="J148" s="223"/>
    </row>
    <row r="149" spans="10:10" x14ac:dyDescent="0.2">
      <c r="J149" s="223"/>
    </row>
    <row r="150" spans="10:10" x14ac:dyDescent="0.2">
      <c r="J150" s="237"/>
    </row>
    <row r="151" spans="10:10" x14ac:dyDescent="0.2">
      <c r="J151" s="237"/>
    </row>
    <row r="152" spans="10:10" x14ac:dyDescent="0.2">
      <c r="J152" s="237"/>
    </row>
    <row r="153" spans="10:10" x14ac:dyDescent="0.2">
      <c r="J153" s="237"/>
    </row>
    <row r="154" spans="10:10" x14ac:dyDescent="0.2">
      <c r="J154" s="237"/>
    </row>
    <row r="155" spans="10:10" x14ac:dyDescent="0.2">
      <c r="J155" s="237"/>
    </row>
    <row r="156" spans="10:10" x14ac:dyDescent="0.2">
      <c r="J156" s="24"/>
    </row>
    <row r="157" spans="10:10" x14ac:dyDescent="0.2">
      <c r="J157" s="238"/>
    </row>
    <row r="158" spans="10:10" x14ac:dyDescent="0.2">
      <c r="J158" s="238"/>
    </row>
    <row r="159" spans="10:10" x14ac:dyDescent="0.2">
      <c r="J159" s="24"/>
    </row>
    <row r="160" spans="10:10" x14ac:dyDescent="0.2">
      <c r="J160" s="24"/>
    </row>
    <row r="161" spans="10:10" x14ac:dyDescent="0.2">
      <c r="J161" s="24"/>
    </row>
    <row r="162" spans="10:10" x14ac:dyDescent="0.2">
      <c r="J162" s="24"/>
    </row>
    <row r="163" spans="10:10" x14ac:dyDescent="0.2">
      <c r="J163" s="24"/>
    </row>
    <row r="164" spans="10:10" x14ac:dyDescent="0.2">
      <c r="J164" s="24"/>
    </row>
    <row r="165" spans="10:10" x14ac:dyDescent="0.2">
      <c r="J165" s="24"/>
    </row>
    <row r="166" spans="10:10" x14ac:dyDescent="0.2">
      <c r="J166" s="24"/>
    </row>
    <row r="167" spans="10:10" x14ac:dyDescent="0.2">
      <c r="J167" s="24"/>
    </row>
  </sheetData>
  <mergeCells count="2">
    <mergeCell ref="C8:I8"/>
    <mergeCell ref="J8:P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EF9F7-AEA1-40BB-AFE7-A8C24BD89FB3}">
  <dimension ref="A2:P82"/>
  <sheetViews>
    <sheetView topLeftCell="A58" workbookViewId="0">
      <selection activeCell="C60" sqref="C60"/>
    </sheetView>
  </sheetViews>
  <sheetFormatPr baseColWidth="10" defaultColWidth="8.83203125" defaultRowHeight="15" x14ac:dyDescent="0.2"/>
  <cols>
    <col min="1" max="1" width="9.6640625" customWidth="1"/>
    <col min="4" max="4" width="12.6640625" customWidth="1"/>
    <col min="5" max="5" width="17.33203125" bestFit="1" customWidth="1"/>
    <col min="6" max="6" width="17.33203125" customWidth="1"/>
    <col min="7" max="7" width="17.1640625" customWidth="1"/>
    <col min="8" max="8" width="24.6640625" bestFit="1" customWidth="1"/>
    <col min="10" max="10" width="19.33203125" customWidth="1"/>
  </cols>
  <sheetData>
    <row r="2" spans="1:11" x14ac:dyDescent="0.2">
      <c r="A2" t="s">
        <v>95</v>
      </c>
      <c r="D2" s="66" t="s">
        <v>116</v>
      </c>
      <c r="E2">
        <v>1</v>
      </c>
      <c r="F2" t="b">
        <f>IF(Region=1,FALSE,TRUE)</f>
        <v>0</v>
      </c>
      <c r="G2" t="str">
        <f>VLOOKUP(E2,A3:B5,2,)</f>
        <v>Select Region</v>
      </c>
      <c r="J2" s="66" t="s">
        <v>146</v>
      </c>
      <c r="K2">
        <f>IF(EC2_Payment=2,Region,Region+2)</f>
        <v>3</v>
      </c>
    </row>
    <row r="3" spans="1:11" x14ac:dyDescent="0.2">
      <c r="A3">
        <v>1</v>
      </c>
      <c r="B3" t="s">
        <v>135</v>
      </c>
    </row>
    <row r="4" spans="1:11" x14ac:dyDescent="0.2">
      <c r="A4">
        <v>2</v>
      </c>
      <c r="B4" t="s">
        <v>136</v>
      </c>
    </row>
    <row r="5" spans="1:11" x14ac:dyDescent="0.2">
      <c r="A5">
        <v>3</v>
      </c>
      <c r="B5" t="s">
        <v>225</v>
      </c>
    </row>
    <row r="7" spans="1:11" x14ac:dyDescent="0.2">
      <c r="A7" t="s">
        <v>60</v>
      </c>
      <c r="D7" s="66" t="s">
        <v>116</v>
      </c>
      <c r="E7">
        <v>1</v>
      </c>
      <c r="F7" t="b">
        <f>IF(EC2_Payment=1,FALSE,TRUE)</f>
        <v>0</v>
      </c>
      <c r="G7" t="str">
        <f>VLOOKUP(E7,A8:B10,2,)</f>
        <v>Select payment plan</v>
      </c>
    </row>
    <row r="8" spans="1:11" x14ac:dyDescent="0.2">
      <c r="A8">
        <v>1</v>
      </c>
      <c r="B8" t="s">
        <v>140</v>
      </c>
    </row>
    <row r="9" spans="1:11" x14ac:dyDescent="0.2">
      <c r="A9">
        <v>2</v>
      </c>
      <c r="B9" t="s">
        <v>141</v>
      </c>
    </row>
    <row r="10" spans="1:11" x14ac:dyDescent="0.2">
      <c r="A10">
        <v>3</v>
      </c>
      <c r="B10" t="s">
        <v>142</v>
      </c>
    </row>
    <row r="13" spans="1:11" x14ac:dyDescent="0.2">
      <c r="A13" t="s">
        <v>103</v>
      </c>
      <c r="D13" s="66" t="s">
        <v>116</v>
      </c>
      <c r="E13">
        <v>1</v>
      </c>
      <c r="G13" t="str">
        <f>VLOOKUP(E13,A14:B19,2,)</f>
        <v>Select degree of recording</v>
      </c>
    </row>
    <row r="14" spans="1:11" x14ac:dyDescent="0.2">
      <c r="A14">
        <v>1</v>
      </c>
      <c r="B14" s="64" t="s">
        <v>126</v>
      </c>
      <c r="C14" s="64"/>
    </row>
    <row r="15" spans="1:11" x14ac:dyDescent="0.2">
      <c r="A15">
        <v>2</v>
      </c>
      <c r="B15" s="22">
        <v>0.1</v>
      </c>
      <c r="C15" s="22"/>
    </row>
    <row r="16" spans="1:11" x14ac:dyDescent="0.2">
      <c r="A16">
        <v>3</v>
      </c>
      <c r="B16" s="22">
        <v>0.25</v>
      </c>
      <c r="C16" s="22"/>
    </row>
    <row r="17" spans="1:11" x14ac:dyDescent="0.2">
      <c r="A17">
        <v>4</v>
      </c>
      <c r="B17" s="22">
        <v>0.5</v>
      </c>
      <c r="C17" s="22"/>
    </row>
    <row r="18" spans="1:11" x14ac:dyDescent="0.2">
      <c r="A18">
        <v>5</v>
      </c>
      <c r="B18" s="22">
        <v>1</v>
      </c>
      <c r="C18" s="22"/>
    </row>
    <row r="19" spans="1:11" x14ac:dyDescent="0.2">
      <c r="B19" s="22"/>
      <c r="C19" s="22"/>
    </row>
    <row r="20" spans="1:11" x14ac:dyDescent="0.2">
      <c r="B20" s="22"/>
      <c r="C20" s="22"/>
    </row>
    <row r="21" spans="1:11" x14ac:dyDescent="0.2">
      <c r="A21" t="s">
        <v>226</v>
      </c>
      <c r="D21" s="66" t="s">
        <v>116</v>
      </c>
      <c r="E21" s="68">
        <v>3</v>
      </c>
      <c r="F21" s="68"/>
      <c r="G21" t="s">
        <v>147</v>
      </c>
      <c r="J21" s="66" t="s">
        <v>148</v>
      </c>
      <c r="K21">
        <f>VLOOKUP(E21,G22:H26,2,)</f>
        <v>24</v>
      </c>
    </row>
    <row r="22" spans="1:11" x14ac:dyDescent="0.2">
      <c r="A22">
        <v>1</v>
      </c>
      <c r="B22" s="71" t="s">
        <v>115</v>
      </c>
      <c r="C22" s="71"/>
      <c r="G22">
        <v>1</v>
      </c>
      <c r="H22">
        <v>0</v>
      </c>
    </row>
    <row r="23" spans="1:11" x14ac:dyDescent="0.2">
      <c r="A23">
        <v>2</v>
      </c>
      <c r="B23" s="71" t="s">
        <v>40</v>
      </c>
      <c r="C23" s="71"/>
      <c r="G23">
        <v>2</v>
      </c>
      <c r="H23">
        <v>1</v>
      </c>
    </row>
    <row r="24" spans="1:11" x14ac:dyDescent="0.2">
      <c r="A24">
        <v>3</v>
      </c>
      <c r="B24" s="71" t="s">
        <v>112</v>
      </c>
      <c r="C24" s="71"/>
      <c r="G24">
        <v>3</v>
      </c>
      <c r="H24">
        <v>24</v>
      </c>
    </row>
    <row r="25" spans="1:11" x14ac:dyDescent="0.2">
      <c r="A25">
        <v>4</v>
      </c>
      <c r="B25" s="71" t="s">
        <v>113</v>
      </c>
      <c r="C25" s="71"/>
      <c r="G25">
        <v>4</v>
      </c>
      <c r="H25">
        <f>(24*7)</f>
        <v>168</v>
      </c>
    </row>
    <row r="26" spans="1:11" x14ac:dyDescent="0.2">
      <c r="A26">
        <v>5</v>
      </c>
      <c r="B26" s="71" t="s">
        <v>114</v>
      </c>
      <c r="C26" s="71"/>
      <c r="G26">
        <v>5</v>
      </c>
      <c r="H26">
        <f>(24*31)</f>
        <v>744</v>
      </c>
    </row>
    <row r="29" spans="1:11" x14ac:dyDescent="0.2">
      <c r="A29" t="s">
        <v>117</v>
      </c>
      <c r="D29" s="66" t="s">
        <v>116</v>
      </c>
      <c r="E29" s="68">
        <v>1</v>
      </c>
      <c r="F29" s="68"/>
      <c r="G29" t="str">
        <f>VLOOKUP(E29,A32:B41,2,FALSE)</f>
        <v>Select number of video streams</v>
      </c>
    </row>
    <row r="30" spans="1:11" x14ac:dyDescent="0.2">
      <c r="C30" t="s">
        <v>167</v>
      </c>
      <c r="D30" s="66" t="s">
        <v>162</v>
      </c>
      <c r="E30" s="260" t="s">
        <v>163</v>
      </c>
      <c r="F30" s="260"/>
      <c r="G30" s="260"/>
    </row>
    <row r="31" spans="1:11" x14ac:dyDescent="0.2">
      <c r="D31" s="66" t="s">
        <v>161</v>
      </c>
      <c r="E31" s="66" t="s">
        <v>161</v>
      </c>
      <c r="F31" s="66"/>
      <c r="G31" s="66" t="s">
        <v>164</v>
      </c>
    </row>
    <row r="32" spans="1:11" x14ac:dyDescent="0.2">
      <c r="A32" s="64">
        <v>1</v>
      </c>
      <c r="B32" s="64" t="s">
        <v>118</v>
      </c>
      <c r="C32" s="64"/>
      <c r="H32" t="s">
        <v>168</v>
      </c>
    </row>
    <row r="33" spans="1:16" x14ac:dyDescent="0.2">
      <c r="A33" s="64">
        <v>2</v>
      </c>
      <c r="B33" s="64">
        <v>1</v>
      </c>
      <c r="C33" s="64">
        <v>0</v>
      </c>
      <c r="D33">
        <f>(B33*4)</f>
        <v>4</v>
      </c>
      <c r="E33">
        <f t="shared" ref="E33:E41" si="0">(D33*(1-G33))</f>
        <v>4</v>
      </c>
      <c r="F33">
        <v>0</v>
      </c>
      <c r="G33" s="75">
        <v>0</v>
      </c>
      <c r="H33" t="s">
        <v>169</v>
      </c>
    </row>
    <row r="34" spans="1:16" x14ac:dyDescent="0.2">
      <c r="A34" s="64">
        <v>3</v>
      </c>
      <c r="B34" s="64">
        <v>4</v>
      </c>
      <c r="C34" s="64">
        <v>0</v>
      </c>
      <c r="D34">
        <f>(B34*4)</f>
        <v>16</v>
      </c>
      <c r="E34">
        <f t="shared" si="0"/>
        <v>16</v>
      </c>
      <c r="F34">
        <v>0</v>
      </c>
      <c r="G34" s="75">
        <v>0</v>
      </c>
      <c r="H34" t="s">
        <v>169</v>
      </c>
      <c r="J34" s="74"/>
      <c r="K34" s="74"/>
      <c r="L34" s="74"/>
      <c r="M34" s="74"/>
      <c r="N34" s="74"/>
      <c r="O34" s="74"/>
      <c r="P34" s="74"/>
    </row>
    <row r="35" spans="1:16" x14ac:dyDescent="0.2">
      <c r="A35" s="64">
        <v>4</v>
      </c>
      <c r="B35" s="64">
        <v>9</v>
      </c>
      <c r="C35" s="64">
        <v>0</v>
      </c>
      <c r="D35">
        <f t="shared" ref="D35:D41" si="1">(B35*4)</f>
        <v>36</v>
      </c>
      <c r="E35">
        <f t="shared" si="0"/>
        <v>16</v>
      </c>
      <c r="F35">
        <v>0</v>
      </c>
      <c r="G35" s="75">
        <v>0.55555555555555558</v>
      </c>
      <c r="H35" t="s">
        <v>169</v>
      </c>
    </row>
    <row r="36" spans="1:16" x14ac:dyDescent="0.2">
      <c r="A36" s="64">
        <v>5</v>
      </c>
      <c r="B36" s="64">
        <v>16</v>
      </c>
      <c r="C36" s="64">
        <v>0</v>
      </c>
      <c r="D36">
        <f t="shared" si="1"/>
        <v>64</v>
      </c>
      <c r="E36">
        <f t="shared" si="0"/>
        <v>28.444444444444443</v>
      </c>
      <c r="F36">
        <v>0</v>
      </c>
      <c r="G36" s="75">
        <v>0.55555555555555558</v>
      </c>
      <c r="H36" t="s">
        <v>169</v>
      </c>
    </row>
    <row r="37" spans="1:16" x14ac:dyDescent="0.2">
      <c r="A37" s="64">
        <v>6</v>
      </c>
      <c r="B37" s="64">
        <v>25</v>
      </c>
      <c r="C37" s="64">
        <v>0</v>
      </c>
      <c r="D37">
        <f t="shared" si="1"/>
        <v>100</v>
      </c>
      <c r="E37">
        <f t="shared" si="0"/>
        <v>19.861111111111107</v>
      </c>
      <c r="F37">
        <v>0</v>
      </c>
      <c r="G37" s="75">
        <v>0.80138888888888893</v>
      </c>
      <c r="H37" t="s">
        <v>169</v>
      </c>
    </row>
    <row r="38" spans="1:16" x14ac:dyDescent="0.2">
      <c r="A38" s="64">
        <v>7</v>
      </c>
      <c r="B38" s="64">
        <v>36</v>
      </c>
      <c r="C38" s="64">
        <v>0</v>
      </c>
      <c r="D38">
        <f t="shared" si="1"/>
        <v>144</v>
      </c>
      <c r="E38">
        <f t="shared" si="0"/>
        <v>5.8666666666666671</v>
      </c>
      <c r="F38">
        <v>0</v>
      </c>
      <c r="G38" s="75">
        <v>0.95925925925925926</v>
      </c>
      <c r="H38" t="s">
        <v>169</v>
      </c>
    </row>
    <row r="39" spans="1:16" x14ac:dyDescent="0.2">
      <c r="A39" s="64">
        <v>8</v>
      </c>
      <c r="B39" s="64">
        <v>49</v>
      </c>
      <c r="C39" s="64">
        <v>0</v>
      </c>
      <c r="D39">
        <f t="shared" si="1"/>
        <v>196</v>
      </c>
      <c r="E39">
        <f t="shared" si="0"/>
        <v>7.9851851851851858</v>
      </c>
      <c r="F39">
        <v>0</v>
      </c>
      <c r="G39" s="75">
        <v>0.95925925925925926</v>
      </c>
      <c r="H39" t="s">
        <v>170</v>
      </c>
    </row>
    <row r="40" spans="1:16" x14ac:dyDescent="0.2">
      <c r="A40" s="64">
        <v>9</v>
      </c>
      <c r="B40" s="64">
        <v>68</v>
      </c>
      <c r="C40" s="64">
        <v>0</v>
      </c>
      <c r="D40">
        <f t="shared" si="1"/>
        <v>272</v>
      </c>
      <c r="E40">
        <f t="shared" si="0"/>
        <v>11.081481481481482</v>
      </c>
      <c r="F40">
        <v>0</v>
      </c>
      <c r="G40" s="75">
        <v>0.95925925925925926</v>
      </c>
      <c r="H40" t="s">
        <v>170</v>
      </c>
    </row>
    <row r="41" spans="1:16" x14ac:dyDescent="0.2">
      <c r="A41" s="64">
        <v>10</v>
      </c>
      <c r="B41" s="64">
        <v>100</v>
      </c>
      <c r="C41" s="64">
        <v>0</v>
      </c>
      <c r="D41">
        <f t="shared" si="1"/>
        <v>400</v>
      </c>
      <c r="E41">
        <f t="shared" si="0"/>
        <v>16.296296296296298</v>
      </c>
      <c r="F41">
        <v>0</v>
      </c>
      <c r="G41" s="75">
        <v>0.95925925925925926</v>
      </c>
      <c r="H41" t="s">
        <v>166</v>
      </c>
    </row>
    <row r="43" spans="1:16" x14ac:dyDescent="0.2">
      <c r="A43" t="s">
        <v>110</v>
      </c>
      <c r="D43" s="66" t="s">
        <v>116</v>
      </c>
      <c r="E43" s="68">
        <v>1</v>
      </c>
      <c r="F43" s="68"/>
    </row>
    <row r="44" spans="1:16" x14ac:dyDescent="0.2">
      <c r="A44" s="64">
        <v>1</v>
      </c>
      <c r="B44" t="s">
        <v>119</v>
      </c>
    </row>
    <row r="45" spans="1:16" x14ac:dyDescent="0.2">
      <c r="A45" s="64">
        <v>2</v>
      </c>
      <c r="B45" t="s">
        <v>120</v>
      </c>
    </row>
    <row r="46" spans="1:16" x14ac:dyDescent="0.2">
      <c r="A46" s="64">
        <v>3</v>
      </c>
      <c r="B46" t="s">
        <v>222</v>
      </c>
    </row>
    <row r="47" spans="1:16" x14ac:dyDescent="0.2">
      <c r="A47" s="64">
        <v>4</v>
      </c>
      <c r="B47" t="s">
        <v>121</v>
      </c>
    </row>
    <row r="50" spans="1:10" x14ac:dyDescent="0.2">
      <c r="A50" t="s">
        <v>129</v>
      </c>
      <c r="D50" s="66" t="s">
        <v>116</v>
      </c>
      <c r="E50">
        <v>1</v>
      </c>
      <c r="G50">
        <f>VLOOKUP(E50,A51:E53,4,FALSE)</f>
        <v>0</v>
      </c>
      <c r="H50" t="str">
        <f>VLOOKUP(E50,A51:E53,2,FALSE)</f>
        <v>Select FSx deployment</v>
      </c>
      <c r="I50">
        <f>VLOOKUP(E50,A51:E53,5,FALSE)</f>
        <v>0</v>
      </c>
      <c r="J50">
        <f>VLOOKUP(E50,A51:F53,6,FALSE)</f>
        <v>0</v>
      </c>
    </row>
    <row r="51" spans="1:10" x14ac:dyDescent="0.2">
      <c r="A51">
        <v>1</v>
      </c>
      <c r="B51" t="s">
        <v>130</v>
      </c>
    </row>
    <row r="52" spans="1:10" x14ac:dyDescent="0.2">
      <c r="A52">
        <v>2</v>
      </c>
      <c r="B52" t="s">
        <v>131</v>
      </c>
      <c r="E52" t="s">
        <v>96</v>
      </c>
      <c r="F52" t="s">
        <v>223</v>
      </c>
    </row>
    <row r="53" spans="1:10" x14ac:dyDescent="0.2">
      <c r="A53">
        <v>3</v>
      </c>
      <c r="B53" t="s">
        <v>132</v>
      </c>
      <c r="E53" t="s">
        <v>97</v>
      </c>
      <c r="F53" t="s">
        <v>224</v>
      </c>
    </row>
    <row r="56" spans="1:10" x14ac:dyDescent="0.2">
      <c r="A56" t="s">
        <v>61</v>
      </c>
    </row>
    <row r="57" spans="1:10" x14ac:dyDescent="0.2">
      <c r="A57">
        <v>1</v>
      </c>
    </row>
    <row r="59" spans="1:10" x14ac:dyDescent="0.2">
      <c r="A59" t="s">
        <v>205</v>
      </c>
      <c r="C59" t="e">
        <f>IF(OR(Storage_Input=1,Storage_Input=3),Req_MediaDB,Custom_MediaDB)</f>
        <v>#DIV/0!</v>
      </c>
    </row>
    <row r="60" spans="1:10" x14ac:dyDescent="0.2">
      <c r="A60" t="s">
        <v>196</v>
      </c>
      <c r="C60" t="e">
        <f>IF(OR(Storage_Input=1,Storage_Input=3),Req_Archive,Custom_Archive)</f>
        <v>#DIV/0!</v>
      </c>
    </row>
    <row r="64" spans="1:10" x14ac:dyDescent="0.2">
      <c r="A64" s="1" t="s">
        <v>233</v>
      </c>
      <c r="D64" t="s">
        <v>253</v>
      </c>
    </row>
    <row r="65" spans="1:16" x14ac:dyDescent="0.2">
      <c r="A65" t="s">
        <v>95</v>
      </c>
      <c r="C65" t="b">
        <f>Check_Region</f>
        <v>0</v>
      </c>
      <c r="D65" s="67" t="s">
        <v>154</v>
      </c>
    </row>
    <row r="66" spans="1:16" x14ac:dyDescent="0.2">
      <c r="A66" t="s">
        <v>234</v>
      </c>
      <c r="C66" t="b">
        <f>Check_EC2_Payment</f>
        <v>0</v>
      </c>
      <c r="D66" s="67" t="s">
        <v>139</v>
      </c>
    </row>
    <row r="67" spans="1:16" x14ac:dyDescent="0.2">
      <c r="A67" t="s">
        <v>235</v>
      </c>
      <c r="C67" t="b">
        <f>IF(No_Cameras&gt;0,TRUE,FALSE)</f>
        <v>0</v>
      </c>
      <c r="D67" s="67" t="s">
        <v>185</v>
      </c>
    </row>
    <row r="68" spans="1:16" x14ac:dyDescent="0.2">
      <c r="A68" t="s">
        <v>236</v>
      </c>
      <c r="C68" t="b">
        <f>IF(Rec_Stream&gt;0,TRUE,FALSE)</f>
        <v>0</v>
      </c>
      <c r="D68" s="67" t="s">
        <v>186</v>
      </c>
    </row>
    <row r="69" spans="1:16" x14ac:dyDescent="0.2">
      <c r="A69" t="s">
        <v>237</v>
      </c>
      <c r="C69" t="b">
        <f>IF(E13=1, FALSE,TRUE)</f>
        <v>0</v>
      </c>
      <c r="D69" s="67" t="s">
        <v>247</v>
      </c>
    </row>
    <row r="70" spans="1:16" x14ac:dyDescent="0.2">
      <c r="A70" t="s">
        <v>238</v>
      </c>
      <c r="C70" t="b">
        <f>IF(Retention_Time&gt;0,TRUE,FALSE)</f>
        <v>0</v>
      </c>
      <c r="D70" s="67" t="s">
        <v>188</v>
      </c>
    </row>
    <row r="71" spans="1:16" x14ac:dyDescent="0.2">
      <c r="A71" t="s">
        <v>226</v>
      </c>
      <c r="C71" t="b">
        <f>IF(E21=1,FALSE,TRUE)</f>
        <v>1</v>
      </c>
      <c r="D71" s="67" t="s">
        <v>188</v>
      </c>
    </row>
    <row r="72" spans="1:16" x14ac:dyDescent="0.2">
      <c r="A72" t="s">
        <v>239</v>
      </c>
      <c r="C72" t="b">
        <f>IF(E50=1,FALSE,TRUE)</f>
        <v>0</v>
      </c>
      <c r="D72" s="67" t="s">
        <v>180</v>
      </c>
    </row>
    <row r="73" spans="1:16" x14ac:dyDescent="0.2">
      <c r="A73" t="s">
        <v>251</v>
      </c>
      <c r="C73" t="b">
        <f>IF(OR(Storage_Input=1,Storage_Input=3),TRUE,IF(Custom_MediaDB&lt;Req_MediaDB,FALSE,TRUE))</f>
        <v>1</v>
      </c>
      <c r="D73" s="67" t="s">
        <v>203</v>
      </c>
    </row>
    <row r="74" spans="1:16" x14ac:dyDescent="0.2">
      <c r="A74" t="s">
        <v>252</v>
      </c>
      <c r="C74" t="b">
        <f>IF(OR(Storage_Input=1,Storage_Input=3),TRUE,IF(Custom_Archive&lt;Req_Archive,FALSE,TRUE))</f>
        <v>1</v>
      </c>
      <c r="D74" s="67" t="s">
        <v>204</v>
      </c>
    </row>
    <row r="75" spans="1:16" x14ac:dyDescent="0.2">
      <c r="A75" t="s">
        <v>240</v>
      </c>
      <c r="C75" t="b">
        <f>IF(No_Operators&lt;1,FALSE,TRUE)</f>
        <v>0</v>
      </c>
      <c r="D75" s="252" t="s">
        <v>106</v>
      </c>
      <c r="E75" s="252"/>
      <c r="F75" s="252"/>
      <c r="G75" s="252"/>
      <c r="H75" s="252"/>
      <c r="I75" s="252"/>
      <c r="J75" s="252"/>
      <c r="K75" s="252"/>
      <c r="L75" s="252"/>
      <c r="M75" s="252"/>
      <c r="N75" s="252"/>
      <c r="O75" s="252"/>
      <c r="P75" s="252"/>
    </row>
    <row r="76" spans="1:16" x14ac:dyDescent="0.2">
      <c r="A76" t="s">
        <v>241</v>
      </c>
      <c r="C76" t="b">
        <f>IF(Daily_Usage&lt;1,FALSE,TRUE)</f>
        <v>0</v>
      </c>
      <c r="D76" s="252" t="s">
        <v>245</v>
      </c>
      <c r="E76" s="252"/>
      <c r="F76" s="252"/>
      <c r="G76" s="252"/>
      <c r="H76" s="252"/>
      <c r="I76" s="252"/>
      <c r="J76" s="252"/>
      <c r="K76" s="252"/>
      <c r="L76" s="252"/>
      <c r="M76" s="252"/>
      <c r="N76" s="252"/>
      <c r="O76" s="252"/>
      <c r="P76" s="252"/>
    </row>
    <row r="77" spans="1:16" x14ac:dyDescent="0.2">
      <c r="A77" t="s">
        <v>242</v>
      </c>
      <c r="C77" t="b">
        <f>IF(E29=1,FALSE,TRUE)</f>
        <v>0</v>
      </c>
      <c r="D77" s="67" t="s">
        <v>181</v>
      </c>
    </row>
    <row r="78" spans="1:16" x14ac:dyDescent="0.2">
      <c r="A78" t="s">
        <v>210</v>
      </c>
      <c r="C78" t="b">
        <f>IF(Client_Access=1,FALSE,TRUE)</f>
        <v>0</v>
      </c>
      <c r="D78" s="67" t="s">
        <v>111</v>
      </c>
    </row>
    <row r="79" spans="1:16" x14ac:dyDescent="0.2">
      <c r="A79" t="s">
        <v>243</v>
      </c>
      <c r="C79" t="b">
        <f>IF(No_Sites&lt;1,FALSE,TRUE)</f>
        <v>0</v>
      </c>
      <c r="D79" s="67" t="s">
        <v>215</v>
      </c>
    </row>
    <row r="80" spans="1:16" x14ac:dyDescent="0.2">
      <c r="A80" t="s">
        <v>244</v>
      </c>
      <c r="C80" t="b">
        <f>IF(COUNTIF(C65:C79,FALSE)=0,TRUE,FALSE)</f>
        <v>0</v>
      </c>
    </row>
    <row r="81" spans="1:3" x14ac:dyDescent="0.2">
      <c r="A81" t="s">
        <v>250</v>
      </c>
      <c r="C81" t="b">
        <f>IF(COUNTIF(C67:C71,FALSE)=0,TRUE,FALSE)</f>
        <v>0</v>
      </c>
    </row>
    <row r="82" spans="1:3" x14ac:dyDescent="0.2">
      <c r="A82" t="s">
        <v>261</v>
      </c>
      <c r="C82" t="b">
        <f>IF(COUNTIF(C67:C69,FALSE)=0,TRUE,FALSE)</f>
        <v>0</v>
      </c>
    </row>
  </sheetData>
  <mergeCells count="3">
    <mergeCell ref="E30:G30"/>
    <mergeCell ref="D75:P75"/>
    <mergeCell ref="D76:P76"/>
  </mergeCells>
  <pageMargins left="0.7" right="0.7" top="0.75" bottom="0.75" header="0.3" footer="0.3"/>
  <pageSetup paperSize="9" orientation="portrait" verticalDpi="0" r:id="rId1"/>
  <headerFooter>
    <oddFooter>&amp;C&amp;1#&amp;"Calibri"&amp;8&amp;K000000Sensitivity: Internal (R3)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EF5CF-3317-449A-907C-9E80EB7D03F4}">
  <dimension ref="A1:H58"/>
  <sheetViews>
    <sheetView workbookViewId="0">
      <selection activeCell="B15" sqref="B15"/>
    </sheetView>
  </sheetViews>
  <sheetFormatPr baseColWidth="10" defaultColWidth="8.83203125" defaultRowHeight="15" x14ac:dyDescent="0.2"/>
  <cols>
    <col min="1" max="1" width="33.6640625" bestFit="1" customWidth="1"/>
    <col min="2" max="2" width="25.6640625" bestFit="1" customWidth="1"/>
  </cols>
  <sheetData>
    <row r="1" spans="1:8" x14ac:dyDescent="0.2">
      <c r="A1" s="70" t="s">
        <v>122</v>
      </c>
      <c r="B1" s="65"/>
    </row>
    <row r="2" spans="1:8" x14ac:dyDescent="0.2">
      <c r="A2" s="72" t="e">
        <f>VLOOKUP(EC2_Instance,EC2_Instances,EC2_Price_Column,FALSE)</f>
        <v>#N/A</v>
      </c>
      <c r="B2" s="65"/>
    </row>
    <row r="3" spans="1:8" x14ac:dyDescent="0.2">
      <c r="A3" s="70"/>
      <c r="B3" s="65"/>
    </row>
    <row r="4" spans="1:8" x14ac:dyDescent="0.2">
      <c r="A4" s="70" t="s">
        <v>123</v>
      </c>
      <c r="B4" s="65"/>
    </row>
    <row r="5" spans="1:8" x14ac:dyDescent="0.2">
      <c r="A5" s="72" t="e">
        <f>VLOOKUP("EBS",AWS_Services,Region,FALSE)*150</f>
        <v>#VALUE!</v>
      </c>
      <c r="B5" s="65"/>
    </row>
    <row r="6" spans="1:8" x14ac:dyDescent="0.2">
      <c r="A6" s="70"/>
      <c r="B6" s="65"/>
    </row>
    <row r="7" spans="1:8" x14ac:dyDescent="0.2">
      <c r="A7" s="70" t="s">
        <v>124</v>
      </c>
      <c r="B7" s="65"/>
    </row>
    <row r="8" spans="1:8" x14ac:dyDescent="0.2">
      <c r="A8" s="72" t="e">
        <f>VLOOKUP("EBS",AWS_Services,Region,FALSE)*MediaDB</f>
        <v>#VALUE!</v>
      </c>
      <c r="B8" s="65"/>
    </row>
    <row r="9" spans="1:8" x14ac:dyDescent="0.2">
      <c r="A9" s="70"/>
      <c r="B9" s="65"/>
    </row>
    <row r="10" spans="1:8" x14ac:dyDescent="0.2">
      <c r="A10" s="70" t="s">
        <v>125</v>
      </c>
      <c r="B10" s="65"/>
    </row>
    <row r="11" spans="1:8" x14ac:dyDescent="0.2">
      <c r="A11" s="69" t="s">
        <v>61</v>
      </c>
      <c r="B11" s="72" t="e">
        <f>VLOOKUP(Input!I50,AWS_Services,Region,FALSE)*1024*Archive</f>
        <v>#N/A</v>
      </c>
      <c r="G11" s="1" t="s">
        <v>100</v>
      </c>
    </row>
    <row r="12" spans="1:8" x14ac:dyDescent="0.2">
      <c r="A12" s="69" t="s">
        <v>227</v>
      </c>
      <c r="B12" s="72" t="e">
        <f>(No_Cameras*Rec_Stream*Rec_degree)/8*130%</f>
        <v>#VALUE!</v>
      </c>
      <c r="C12" t="s">
        <v>174</v>
      </c>
      <c r="G12" t="s">
        <v>99</v>
      </c>
    </row>
    <row r="13" spans="1:8" x14ac:dyDescent="0.2">
      <c r="A13" s="69"/>
      <c r="B13" s="72"/>
      <c r="G13">
        <v>0</v>
      </c>
      <c r="H13">
        <v>8</v>
      </c>
    </row>
    <row r="14" spans="1:8" x14ac:dyDescent="0.2">
      <c r="A14" s="69" t="s">
        <v>228</v>
      </c>
      <c r="B14" s="76" t="e">
        <f>SUM(B12:B13)</f>
        <v>#VALUE!</v>
      </c>
      <c r="C14" s="32" t="e">
        <f>ROUNDUP(B14,0)</f>
        <v>#VALUE!</v>
      </c>
      <c r="G14">
        <v>8</v>
      </c>
      <c r="H14">
        <v>16</v>
      </c>
    </row>
    <row r="15" spans="1:8" x14ac:dyDescent="0.2">
      <c r="A15" s="69" t="s">
        <v>229</v>
      </c>
      <c r="B15" s="73" t="e">
        <f>IF(Storage_Input=3,0,VLOOKUP((C14-1),G13:H72,2,TRUE))</f>
        <v>#VALUE!</v>
      </c>
      <c r="G15">
        <f>G14*2</f>
        <v>16</v>
      </c>
      <c r="H15">
        <v>32</v>
      </c>
    </row>
    <row r="16" spans="1:8" x14ac:dyDescent="0.2">
      <c r="A16" s="69" t="s">
        <v>175</v>
      </c>
      <c r="B16" s="72" t="e">
        <f>VLOOKUP(Input!J50,AWS_Services,Region,FALSE)*B15</f>
        <v>#N/A</v>
      </c>
      <c r="C16" s="77"/>
      <c r="G16">
        <f t="shared" ref="G16" si="0">G15*2</f>
        <v>32</v>
      </c>
      <c r="H16">
        <v>32</v>
      </c>
    </row>
    <row r="17" spans="1:8" x14ac:dyDescent="0.2">
      <c r="A17" s="69"/>
      <c r="B17" s="65"/>
      <c r="G17">
        <f t="shared" ref="G17:G20" si="1">G16*2</f>
        <v>64</v>
      </c>
      <c r="H17">
        <v>128</v>
      </c>
    </row>
    <row r="18" spans="1:8" x14ac:dyDescent="0.2">
      <c r="A18" s="70" t="s">
        <v>149</v>
      </c>
      <c r="B18" s="65"/>
      <c r="G18">
        <f t="shared" si="1"/>
        <v>128</v>
      </c>
      <c r="H18">
        <v>256</v>
      </c>
    </row>
    <row r="19" spans="1:8" x14ac:dyDescent="0.2">
      <c r="A19" s="69" t="s">
        <v>230</v>
      </c>
      <c r="B19" s="72" t="e">
        <f>VLOOKUP("VPN Connection",AWS_Services,Region,FALSE)*No_Sites</f>
        <v>#VALUE!</v>
      </c>
      <c r="G19">
        <f t="shared" si="1"/>
        <v>256</v>
      </c>
      <c r="H19">
        <v>512</v>
      </c>
    </row>
    <row r="20" spans="1:8" x14ac:dyDescent="0.2">
      <c r="A20" s="69" t="s">
        <v>98</v>
      </c>
      <c r="B20" s="65">
        <f>(Up_Throughput+(Down_Throughput/1024))</f>
        <v>0</v>
      </c>
      <c r="C20" t="s">
        <v>46</v>
      </c>
      <c r="G20">
        <f t="shared" si="1"/>
        <v>512</v>
      </c>
      <c r="H20">
        <v>1024</v>
      </c>
    </row>
    <row r="21" spans="1:8" x14ac:dyDescent="0.2">
      <c r="A21" s="69" t="s">
        <v>58</v>
      </c>
      <c r="B21" s="65" t="b">
        <f>IF(Throughput&gt;1.25,FALSE,IF(No_Sites&gt;10,FALSE,TRUE))</f>
        <v>1</v>
      </c>
      <c r="G21">
        <f>G20*2</f>
        <v>1024</v>
      </c>
      <c r="H21">
        <v>2048</v>
      </c>
    </row>
    <row r="22" spans="1:8" x14ac:dyDescent="0.2">
      <c r="A22" s="69"/>
      <c r="B22" s="65"/>
      <c r="G22">
        <f>G21*2</f>
        <v>2048</v>
      </c>
      <c r="H22" t="b">
        <v>0</v>
      </c>
    </row>
    <row r="23" spans="1:8" x14ac:dyDescent="0.2">
      <c r="A23" s="70" t="s">
        <v>128</v>
      </c>
      <c r="B23" s="65"/>
    </row>
    <row r="24" spans="1:8" x14ac:dyDescent="0.2">
      <c r="A24" t="s">
        <v>165</v>
      </c>
      <c r="B24" t="e">
        <f>VLOOKUP(Viewed_Cameras,Video_Streams,(Client_Access+1),FALSE)</f>
        <v>#N/A</v>
      </c>
      <c r="C24" t="s">
        <v>11</v>
      </c>
    </row>
    <row r="25" spans="1:8" x14ac:dyDescent="0.2">
      <c r="A25" t="s">
        <v>155</v>
      </c>
      <c r="B25" t="e">
        <f>(B24*3600/1024/8)</f>
        <v>#N/A</v>
      </c>
      <c r="C25" t="s">
        <v>156</v>
      </c>
    </row>
    <row r="26" spans="1:8" x14ac:dyDescent="0.2">
      <c r="A26" t="s">
        <v>157</v>
      </c>
      <c r="B26" t="e">
        <f>(B25*1.08)</f>
        <v>#N/A</v>
      </c>
      <c r="C26" t="s">
        <v>156</v>
      </c>
    </row>
    <row r="27" spans="1:8" x14ac:dyDescent="0.2">
      <c r="A27" t="s">
        <v>160</v>
      </c>
      <c r="B27" s="73" t="e">
        <f>ROUNDUP((B26*No_Operators*Daily_Usage*30.4/1024),2)</f>
        <v>#N/A</v>
      </c>
      <c r="C27" t="s">
        <v>28</v>
      </c>
    </row>
    <row r="28" spans="1:8" x14ac:dyDescent="0.2">
      <c r="A28" s="69" t="s">
        <v>158</v>
      </c>
      <c r="B28" s="73" t="e">
        <f>VLOOKUP("Egress",AWS_Services,Region,FALSE)*B27*1024</f>
        <v>#VALUE!</v>
      </c>
      <c r="C28" t="s">
        <v>159</v>
      </c>
    </row>
    <row r="29" spans="1:8" x14ac:dyDescent="0.2">
      <c r="A29" s="69"/>
      <c r="B29" s="65"/>
    </row>
    <row r="30" spans="1:8" x14ac:dyDescent="0.2">
      <c r="A30" s="69"/>
      <c r="B30" s="65"/>
    </row>
    <row r="31" spans="1:8" x14ac:dyDescent="0.2">
      <c r="A31" s="69"/>
      <c r="B31" s="65"/>
    </row>
    <row r="32" spans="1:8" x14ac:dyDescent="0.2">
      <c r="A32" s="65"/>
      <c r="B32" s="65"/>
    </row>
    <row r="33" spans="1:2" x14ac:dyDescent="0.2">
      <c r="A33" s="70" t="s">
        <v>145</v>
      </c>
      <c r="B33" s="65"/>
    </row>
    <row r="34" spans="1:2" x14ac:dyDescent="0.2">
      <c r="A34" s="65" t="str">
        <f>IF(Client_Access=4,No_Operators&amp;" unique AppStream 2.0 users","AppStream 2.0 is not used")</f>
        <v>AppStream 2.0 is not used</v>
      </c>
      <c r="B34" s="73" t="e">
        <f>VLOOKUP("AppStream_User",AWS_Services,Region,FALSE)*No_Operators</f>
        <v>#VALUE!</v>
      </c>
    </row>
    <row r="35" spans="1:2" x14ac:dyDescent="0.2">
      <c r="A35" t="s">
        <v>171</v>
      </c>
      <c r="B35" t="e">
        <f>VLOOKUP(Viewed_Cameras,Video_Streams,Client_Access+3,FALSE)</f>
        <v>#N/A</v>
      </c>
    </row>
    <row r="36" spans="1:2" x14ac:dyDescent="0.2">
      <c r="A36" t="s">
        <v>172</v>
      </c>
      <c r="B36">
        <f>ROUNDUP(No_Operators*Daily_Usage*30.4,0)</f>
        <v>0</v>
      </c>
    </row>
    <row r="37" spans="1:2" x14ac:dyDescent="0.2">
      <c r="A37" t="s">
        <v>173</v>
      </c>
      <c r="B37" t="e">
        <f>VLOOKUP(AppStream_Instance_Type,AWS_Services,Region,FALSE)*AppStream_Hours</f>
        <v>#N/A</v>
      </c>
    </row>
    <row r="40" spans="1:2" x14ac:dyDescent="0.2">
      <c r="A40" t="s">
        <v>209</v>
      </c>
    </row>
    <row r="41" spans="1:2" x14ac:dyDescent="0.2">
      <c r="A41" t="s">
        <v>210</v>
      </c>
      <c r="B41" t="s">
        <v>231</v>
      </c>
    </row>
    <row r="42" spans="1:2" x14ac:dyDescent="0.2">
      <c r="A42">
        <v>1</v>
      </c>
      <c r="B42">
        <v>0</v>
      </c>
    </row>
    <row r="43" spans="1:2" x14ac:dyDescent="0.2">
      <c r="A43">
        <v>2</v>
      </c>
      <c r="B43" t="e">
        <f>(B25*No_Operators)</f>
        <v>#N/A</v>
      </c>
    </row>
    <row r="44" spans="1:2" x14ac:dyDescent="0.2">
      <c r="A44">
        <v>3</v>
      </c>
      <c r="B44" t="e">
        <f>(B25*No_Operators)</f>
        <v>#N/A</v>
      </c>
    </row>
    <row r="45" spans="1:2" x14ac:dyDescent="0.2">
      <c r="A45">
        <v>4</v>
      </c>
      <c r="B45">
        <f>4*No_Operators*(1+Network_Overhead)</f>
        <v>0</v>
      </c>
    </row>
    <row r="53" spans="1:2" x14ac:dyDescent="0.2">
      <c r="A53" s="69" t="s">
        <v>176</v>
      </c>
      <c r="B53" s="3" t="e">
        <f>EC2_Price</f>
        <v>#N/A</v>
      </c>
    </row>
    <row r="54" spans="1:2" x14ac:dyDescent="0.2">
      <c r="A54" s="69" t="s">
        <v>177</v>
      </c>
      <c r="B54" s="3" t="e">
        <f>EBS_ConfigDB_Price+EBS_LiveDB_Price</f>
        <v>#VALUE!</v>
      </c>
    </row>
    <row r="55" spans="1:2" x14ac:dyDescent="0.2">
      <c r="A55" s="69" t="s">
        <v>178</v>
      </c>
      <c r="B55" s="3" t="e">
        <f>FSX_Storage_Price+FSX_Throughput_Price</f>
        <v>#N/A</v>
      </c>
    </row>
    <row r="56" spans="1:2" x14ac:dyDescent="0.2">
      <c r="A56" s="69" t="s">
        <v>248</v>
      </c>
      <c r="B56" s="3" t="e">
        <f>IF(VPN=TRUE,VPN_Price,0)</f>
        <v>#VALUE!</v>
      </c>
    </row>
    <row r="57" spans="1:2" x14ac:dyDescent="0.2">
      <c r="A57" s="69" t="s">
        <v>232</v>
      </c>
      <c r="B57" s="3" t="e">
        <f>IF(Client_Access=4,0,Egress_Price)</f>
        <v>#VALUE!</v>
      </c>
    </row>
    <row r="58" spans="1:2" x14ac:dyDescent="0.2">
      <c r="A58" s="69" t="s">
        <v>145</v>
      </c>
      <c r="B58" s="3">
        <f>IF(Client_Access=4,AppStream_Users_Price+AppStream_Streaming_Price,0)</f>
        <v>0</v>
      </c>
    </row>
  </sheetData>
  <pageMargins left="0.7" right="0.7" top="0.75" bottom="0.75" header="0.3" footer="0.3"/>
  <pageSetup paperSize="9" orientation="portrait" verticalDpi="0" r:id="rId1"/>
  <headerFooter>
    <oddFooter>&amp;C&amp;1#&amp;"Calibri"&amp;8&amp;K000000Sensitivity: Internal (R3)</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51"/>
  <sheetViews>
    <sheetView zoomScale="110" zoomScaleNormal="110" workbookViewId="0">
      <selection activeCell="B48" sqref="B48"/>
    </sheetView>
  </sheetViews>
  <sheetFormatPr baseColWidth="10" defaultColWidth="8.83203125" defaultRowHeight="15" outlineLevelRow="1" x14ac:dyDescent="0.2"/>
  <cols>
    <col min="1" max="1" width="25.1640625" style="2" customWidth="1"/>
    <col min="2" max="2" width="11.33203125" bestFit="1" customWidth="1"/>
    <col min="3" max="3" width="8.1640625" customWidth="1"/>
    <col min="4" max="4" width="10.1640625" bestFit="1" customWidth="1"/>
    <col min="5" max="5" width="19.1640625" customWidth="1"/>
    <col min="6" max="6" width="13.83203125" bestFit="1" customWidth="1"/>
    <col min="7" max="7" width="10.6640625" bestFit="1" customWidth="1"/>
    <col min="8" max="8" width="8.1640625" customWidth="1"/>
    <col min="9" max="9" width="10.33203125" bestFit="1" customWidth="1"/>
    <col min="10" max="10" width="5.33203125" customWidth="1"/>
    <col min="11" max="11" width="13.83203125" bestFit="1" customWidth="1"/>
    <col min="12" max="13" width="5.83203125" bestFit="1" customWidth="1"/>
  </cols>
  <sheetData>
    <row r="2" spans="1:9" x14ac:dyDescent="0.2">
      <c r="A2" s="33" t="s">
        <v>42</v>
      </c>
      <c r="B2" s="44">
        <f>(No_Cameras)</f>
        <v>0</v>
      </c>
      <c r="G2" s="20" t="s">
        <v>31</v>
      </c>
      <c r="H2" s="20" t="s">
        <v>33</v>
      </c>
    </row>
    <row r="3" spans="1:9" x14ac:dyDescent="0.2">
      <c r="A3" s="33" t="s">
        <v>41</v>
      </c>
      <c r="B3" s="45">
        <f>(Rec_Stream)</f>
        <v>0</v>
      </c>
      <c r="C3" t="s">
        <v>11</v>
      </c>
      <c r="F3" s="1" t="s">
        <v>29</v>
      </c>
      <c r="G3" s="17">
        <v>2.35</v>
      </c>
      <c r="H3" s="4"/>
      <c r="I3" t="s">
        <v>11</v>
      </c>
    </row>
    <row r="4" spans="1:9" x14ac:dyDescent="0.2">
      <c r="A4" s="33" t="s">
        <v>63</v>
      </c>
      <c r="B4" s="46" t="str">
        <f>Rec_degree</f>
        <v>Select degree of recording</v>
      </c>
      <c r="C4" t="s">
        <v>69</v>
      </c>
      <c r="F4" s="1" t="s">
        <v>30</v>
      </c>
      <c r="G4" s="18">
        <v>4</v>
      </c>
      <c r="H4" s="6">
        <v>3</v>
      </c>
      <c r="I4" t="s">
        <v>11</v>
      </c>
    </row>
    <row r="5" spans="1:9" x14ac:dyDescent="0.2">
      <c r="A5" s="33" t="s">
        <v>39</v>
      </c>
      <c r="B5" s="47">
        <f>24*1</f>
        <v>24</v>
      </c>
      <c r="C5" t="s">
        <v>40</v>
      </c>
      <c r="F5" s="1" t="s">
        <v>32</v>
      </c>
      <c r="G5" s="19">
        <v>30</v>
      </c>
      <c r="H5" s="9">
        <v>20</v>
      </c>
      <c r="I5" t="s">
        <v>11</v>
      </c>
    </row>
    <row r="6" spans="1:9" x14ac:dyDescent="0.2">
      <c r="A6" s="33" t="s">
        <v>74</v>
      </c>
      <c r="B6" s="48">
        <v>0.05</v>
      </c>
      <c r="C6" t="s">
        <v>69</v>
      </c>
      <c r="F6" s="1"/>
    </row>
    <row r="7" spans="1:9" x14ac:dyDescent="0.2">
      <c r="A7" s="33" t="s">
        <v>75</v>
      </c>
      <c r="B7" s="48">
        <v>0.02</v>
      </c>
      <c r="C7" t="s">
        <v>70</v>
      </c>
      <c r="F7" s="52" t="s">
        <v>83</v>
      </c>
      <c r="G7" t="s">
        <v>87</v>
      </c>
    </row>
    <row r="8" spans="1:9" x14ac:dyDescent="0.2">
      <c r="A8" s="33" t="s">
        <v>76</v>
      </c>
      <c r="B8" s="46">
        <v>1</v>
      </c>
      <c r="C8" t="s">
        <v>70</v>
      </c>
      <c r="F8" s="52" t="s">
        <v>86</v>
      </c>
      <c r="G8" t="s">
        <v>85</v>
      </c>
    </row>
    <row r="9" spans="1:9" x14ac:dyDescent="0.2">
      <c r="A9" s="33" t="s">
        <v>39</v>
      </c>
      <c r="B9" s="47">
        <f>(Retention_Time*Time_Factor)</f>
        <v>0</v>
      </c>
      <c r="C9" t="s">
        <v>40</v>
      </c>
      <c r="F9" s="52" t="s">
        <v>84</v>
      </c>
      <c r="G9" t="s">
        <v>82</v>
      </c>
    </row>
    <row r="10" spans="1:9" outlineLevel="1" x14ac:dyDescent="0.2">
      <c r="F10" s="52" t="s">
        <v>94</v>
      </c>
      <c r="G10" t="s">
        <v>92</v>
      </c>
    </row>
    <row r="11" spans="1:9" outlineLevel="1" x14ac:dyDescent="0.2">
      <c r="A11" s="55" t="s">
        <v>24</v>
      </c>
      <c r="B11" s="56" t="e">
        <f>A19/B2*1000/128+1</f>
        <v>#DIV/0!</v>
      </c>
      <c r="C11" s="57" t="s">
        <v>43</v>
      </c>
      <c r="D11" s="4"/>
    </row>
    <row r="12" spans="1:9" outlineLevel="1" x14ac:dyDescent="0.2">
      <c r="A12" s="58" t="s">
        <v>24</v>
      </c>
      <c r="B12" s="13" t="e">
        <f>B$2*B$11*(1+IF(B$8=0,0,1))</f>
        <v>#DIV/0!</v>
      </c>
      <c r="C12" t="s">
        <v>34</v>
      </c>
      <c r="D12" s="6"/>
    </row>
    <row r="13" spans="1:9" outlineLevel="1" x14ac:dyDescent="0.2">
      <c r="A13" s="58" t="s">
        <v>90</v>
      </c>
      <c r="B13" s="13" t="e">
        <f>MAX(B12/3,B5*F20*B4/0.95*(1+D13))</f>
        <v>#DIV/0!</v>
      </c>
      <c r="C13" t="s">
        <v>49</v>
      </c>
      <c r="D13" s="63">
        <v>0</v>
      </c>
    </row>
    <row r="14" spans="1:9" outlineLevel="1" x14ac:dyDescent="0.2">
      <c r="A14" s="58" t="s">
        <v>91</v>
      </c>
      <c r="B14" s="15" t="e">
        <f>MAX(0,B8*(B9-B5)*F20*B4/1024/0.95)</f>
        <v>#VALUE!</v>
      </c>
      <c r="C14" t="s">
        <v>89</v>
      </c>
      <c r="D14" s="6"/>
    </row>
    <row r="15" spans="1:9" outlineLevel="1" x14ac:dyDescent="0.2">
      <c r="A15" s="59" t="s">
        <v>93</v>
      </c>
      <c r="B15" s="61">
        <f>MAX(B8*F20*2,B2*20/3)</f>
        <v>0</v>
      </c>
      <c r="C15" s="60" t="s">
        <v>49</v>
      </c>
      <c r="D15" s="62"/>
    </row>
    <row r="16" spans="1:9" ht="16" thickBot="1" x14ac:dyDescent="0.25"/>
    <row r="17" spans="1:14" ht="16" outlineLevel="1" thickBot="1" x14ac:dyDescent="0.25">
      <c r="A17" s="263" t="s">
        <v>19</v>
      </c>
      <c r="B17" s="264"/>
      <c r="C17" s="263" t="s">
        <v>21</v>
      </c>
      <c r="D17" s="264"/>
      <c r="F17" s="261" t="s">
        <v>18</v>
      </c>
      <c r="G17" s="262"/>
      <c r="H17" s="263" t="s">
        <v>20</v>
      </c>
      <c r="I17" s="264"/>
    </row>
    <row r="18" spans="1:14" outlineLevel="1" x14ac:dyDescent="0.2">
      <c r="A18" s="5">
        <f>$B2*$B3</f>
        <v>0</v>
      </c>
      <c r="B18" s="6" t="s">
        <v>11</v>
      </c>
      <c r="C18" s="5">
        <f>$B2*$B3/1000</f>
        <v>0</v>
      </c>
      <c r="D18" s="6" t="s">
        <v>10</v>
      </c>
      <c r="F18" s="5">
        <f>$B2*$B3</f>
        <v>0</v>
      </c>
      <c r="G18" s="6" t="s">
        <v>11</v>
      </c>
      <c r="H18" s="5">
        <f>$B2*$B3/1000</f>
        <v>0</v>
      </c>
      <c r="I18" s="6" t="s">
        <v>10</v>
      </c>
    </row>
    <row r="19" spans="1:14" outlineLevel="1" x14ac:dyDescent="0.2">
      <c r="A19" s="5">
        <f>A18/8</f>
        <v>0</v>
      </c>
      <c r="B19" s="6" t="s">
        <v>5</v>
      </c>
      <c r="C19" s="5">
        <f>C18/8</f>
        <v>0</v>
      </c>
      <c r="D19" s="6" t="s">
        <v>17</v>
      </c>
      <c r="F19" s="5">
        <f>F18/8*(1000/1024)^2</f>
        <v>0</v>
      </c>
      <c r="G19" s="6" t="s">
        <v>3</v>
      </c>
      <c r="H19" s="5">
        <f>H18/8*(1000/1024)^3</f>
        <v>0</v>
      </c>
      <c r="I19" s="6" t="s">
        <v>12</v>
      </c>
    </row>
    <row r="20" spans="1:14" outlineLevel="1" x14ac:dyDescent="0.2">
      <c r="A20" s="5">
        <f>A19*3600/1000</f>
        <v>0</v>
      </c>
      <c r="B20" s="6" t="s">
        <v>6</v>
      </c>
      <c r="C20" s="5">
        <f>C19*3600/1000</f>
        <v>0</v>
      </c>
      <c r="D20" s="6" t="s">
        <v>25</v>
      </c>
      <c r="F20" s="5">
        <f>F19*3600/1024</f>
        <v>0</v>
      </c>
      <c r="G20" s="6" t="s">
        <v>0</v>
      </c>
      <c r="H20" s="5">
        <f>H19*3600/1024</f>
        <v>0</v>
      </c>
      <c r="I20" s="6" t="s">
        <v>13</v>
      </c>
      <c r="N20" s="66"/>
    </row>
    <row r="21" spans="1:14" outlineLevel="1" x14ac:dyDescent="0.2">
      <c r="A21" s="7">
        <f>A20*24</f>
        <v>0</v>
      </c>
      <c r="B21" s="6" t="s">
        <v>7</v>
      </c>
      <c r="C21" s="7">
        <f>C20*24</f>
        <v>0</v>
      </c>
      <c r="D21" s="6" t="s">
        <v>26</v>
      </c>
      <c r="F21" s="7">
        <f>F20*24</f>
        <v>0</v>
      </c>
      <c r="G21" s="6" t="s">
        <v>1</v>
      </c>
      <c r="H21" s="7">
        <f>H20*24</f>
        <v>0</v>
      </c>
      <c r="I21" s="6" t="s">
        <v>14</v>
      </c>
    </row>
    <row r="22" spans="1:14" outlineLevel="1" x14ac:dyDescent="0.2">
      <c r="A22" s="7">
        <f>A21*7</f>
        <v>0</v>
      </c>
      <c r="B22" s="6" t="s">
        <v>8</v>
      </c>
      <c r="C22" s="7">
        <f>C21*7</f>
        <v>0</v>
      </c>
      <c r="D22" s="6" t="s">
        <v>27</v>
      </c>
      <c r="F22" s="7">
        <f>F21*7</f>
        <v>0</v>
      </c>
      <c r="G22" s="6" t="s">
        <v>4</v>
      </c>
      <c r="H22" s="7">
        <f>H21*7</f>
        <v>0</v>
      </c>
      <c r="I22" s="6" t="s">
        <v>15</v>
      </c>
    </row>
    <row r="23" spans="1:14" outlineLevel="1" x14ac:dyDescent="0.2">
      <c r="A23" s="8">
        <f>A21*365/12</f>
        <v>0</v>
      </c>
      <c r="B23" s="9" t="s">
        <v>9</v>
      </c>
      <c r="C23" s="8">
        <f>C21*365/12</f>
        <v>0</v>
      </c>
      <c r="D23" s="9" t="s">
        <v>28</v>
      </c>
      <c r="F23" s="8">
        <f>F21*365/12</f>
        <v>0</v>
      </c>
      <c r="G23" s="9" t="s">
        <v>2</v>
      </c>
      <c r="H23" s="8">
        <f>H21*365/12</f>
        <v>0</v>
      </c>
      <c r="I23" s="9" t="s">
        <v>16</v>
      </c>
    </row>
    <row r="24" spans="1:14" outlineLevel="1" x14ac:dyDescent="0.2">
      <c r="A24" s="13"/>
      <c r="C24" s="13"/>
      <c r="E24" s="13"/>
    </row>
    <row r="25" spans="1:14" outlineLevel="1" x14ac:dyDescent="0.2">
      <c r="A25" s="11" t="s">
        <v>23</v>
      </c>
      <c r="C25" s="14">
        <v>0.08</v>
      </c>
    </row>
    <row r="26" spans="1:14" outlineLevel="1" x14ac:dyDescent="0.2">
      <c r="A26"/>
      <c r="H26" s="36">
        <f>1024/1000</f>
        <v>1.024</v>
      </c>
      <c r="I26" s="4" t="s">
        <v>35</v>
      </c>
    </row>
    <row r="27" spans="1:14" outlineLevel="1" x14ac:dyDescent="0.2">
      <c r="A27" s="10">
        <f>A18*(1+$C$25)</f>
        <v>0</v>
      </c>
      <c r="B27" s="4" t="s">
        <v>11</v>
      </c>
      <c r="C27" s="10">
        <f>C18*(1+$C$25)</f>
        <v>0</v>
      </c>
      <c r="D27" s="4" t="s">
        <v>10</v>
      </c>
      <c r="E27" s="15"/>
      <c r="H27" s="37">
        <f>H$26^2</f>
        <v>1.048576</v>
      </c>
      <c r="I27" s="6" t="s">
        <v>36</v>
      </c>
    </row>
    <row r="28" spans="1:14" outlineLevel="1" x14ac:dyDescent="0.2">
      <c r="A28" s="5">
        <f>A19*(1+$C$25)</f>
        <v>0</v>
      </c>
      <c r="B28" s="6" t="s">
        <v>5</v>
      </c>
      <c r="C28" s="5">
        <f>C19*(1+$C$25)</f>
        <v>0</v>
      </c>
      <c r="D28" s="6" t="s">
        <v>17</v>
      </c>
      <c r="E28" s="15"/>
      <c r="H28" s="37">
        <f>H$26^3</f>
        <v>1.0737418240000001</v>
      </c>
      <c r="I28" s="6" t="s">
        <v>37</v>
      </c>
    </row>
    <row r="29" spans="1:14" outlineLevel="1" x14ac:dyDescent="0.2">
      <c r="A29" s="12">
        <f>A28*60/1000</f>
        <v>0</v>
      </c>
      <c r="B29" s="9" t="s">
        <v>22</v>
      </c>
      <c r="C29" s="12">
        <f>C28*60</f>
        <v>0</v>
      </c>
      <c r="D29" s="9" t="s">
        <v>22</v>
      </c>
      <c r="E29" s="16"/>
      <c r="H29" s="38">
        <f>H$26^4</f>
        <v>1.099511627776</v>
      </c>
      <c r="I29" s="9" t="s">
        <v>38</v>
      </c>
    </row>
    <row r="30" spans="1:14" outlineLevel="1" x14ac:dyDescent="0.2">
      <c r="A30"/>
      <c r="C30" s="2"/>
    </row>
    <row r="31" spans="1:14" x14ac:dyDescent="0.2">
      <c r="A31" t="s">
        <v>258</v>
      </c>
      <c r="B31">
        <f>No_Cameras*Rec_Stream/G4-1</f>
        <v>-1</v>
      </c>
      <c r="C31" s="2"/>
    </row>
    <row r="32" spans="1:14" outlineLevel="1" x14ac:dyDescent="0.2">
      <c r="A32" s="39" t="s">
        <v>88</v>
      </c>
      <c r="B32" s="42" t="e">
        <f>VLOOKUP(Rec_degree,A48:B51,2,FALSE)</f>
        <v>#N/A</v>
      </c>
    </row>
    <row r="33" spans="1:4" hidden="1" outlineLevel="1" x14ac:dyDescent="0.2">
      <c r="A33" s="26" t="s">
        <v>77</v>
      </c>
      <c r="B33" s="27"/>
      <c r="C33" s="28"/>
    </row>
    <row r="34" spans="1:4" hidden="1" outlineLevel="1" x14ac:dyDescent="0.2">
      <c r="A34" s="39" t="s">
        <v>61</v>
      </c>
      <c r="B34" s="3" t="e">
        <f>0.11*B$13/30.4*7</f>
        <v>#DIV/0!</v>
      </c>
      <c r="C34" t="s">
        <v>48</v>
      </c>
    </row>
    <row r="35" spans="1:4" hidden="1" outlineLevel="1" x14ac:dyDescent="0.2">
      <c r="A35" s="39" t="s">
        <v>58</v>
      </c>
      <c r="B35" s="25">
        <f>0.05*24*7</f>
        <v>8.4000000000000021</v>
      </c>
      <c r="C35" t="s">
        <v>48</v>
      </c>
    </row>
    <row r="36" spans="1:4" hidden="1" outlineLevel="1" x14ac:dyDescent="0.2">
      <c r="A36" s="39" t="s">
        <v>67</v>
      </c>
      <c r="B36" s="25">
        <f>0.05*24*7</f>
        <v>8.4000000000000021</v>
      </c>
      <c r="C36" t="s">
        <v>48</v>
      </c>
    </row>
    <row r="37" spans="1:4" hidden="1" outlineLevel="1" x14ac:dyDescent="0.2">
      <c r="A37" s="39" t="s">
        <v>68</v>
      </c>
      <c r="B37" s="25">
        <f>0.05*24*7</f>
        <v>8.4000000000000021</v>
      </c>
      <c r="C37" t="s">
        <v>48</v>
      </c>
    </row>
    <row r="38" spans="1:4" hidden="1" outlineLevel="1" x14ac:dyDescent="0.2">
      <c r="A38" s="39" t="s">
        <v>59</v>
      </c>
      <c r="B38" s="21">
        <f>0.02*A$22*(1+C$25)</f>
        <v>0</v>
      </c>
      <c r="C38" t="s">
        <v>48</v>
      </c>
      <c r="D38" s="35" t="s">
        <v>72</v>
      </c>
    </row>
    <row r="39" spans="1:4" hidden="1" outlineLevel="1" x14ac:dyDescent="0.2">
      <c r="A39" s="39" t="s">
        <v>66</v>
      </c>
      <c r="B39" s="21" t="e">
        <f>0.02*A$22*(1+C$25)*(B$6+B$4*B$7+1%)</f>
        <v>#VALUE!</v>
      </c>
      <c r="C39" t="s">
        <v>48</v>
      </c>
      <c r="D39" s="35" t="s">
        <v>73</v>
      </c>
    </row>
    <row r="40" spans="1:4" hidden="1" outlineLevel="1" x14ac:dyDescent="0.2">
      <c r="A40" s="39" t="s">
        <v>60</v>
      </c>
      <c r="B40" s="29" t="e">
        <f>_xlfn.XLOOKUP($B$2*$B$3/$G$4,'EC2 Guideline'!#REF!,'EC2 Guideline'!#REF!,"n/a",1,1)</f>
        <v>#REF!</v>
      </c>
      <c r="C40" t="s">
        <v>48</v>
      </c>
      <c r="D40" s="34" t="e">
        <f>_xlfn.XLOOKUP($B$2*$B$3/$G$4,'EC2 Guideline'!#REF!,'EC2 Guideline'!#REF!,"No EC2 type",1,1)</f>
        <v>#REF!</v>
      </c>
    </row>
    <row r="41" spans="1:4" hidden="1" outlineLevel="1" x14ac:dyDescent="0.2">
      <c r="A41" s="30" t="s">
        <v>62</v>
      </c>
      <c r="B41" s="31" t="e">
        <f>SUM(B34:B40)</f>
        <v>#DIV/0!</v>
      </c>
      <c r="C41" s="27" t="s">
        <v>48</v>
      </c>
    </row>
    <row r="42" spans="1:4" hidden="1" outlineLevel="1" x14ac:dyDescent="0.2"/>
    <row r="43" spans="1:4" hidden="1" outlineLevel="1" x14ac:dyDescent="0.2">
      <c r="B43" s="21" t="e">
        <f>B41/7*365</f>
        <v>#DIV/0!</v>
      </c>
      <c r="C43" t="s">
        <v>64</v>
      </c>
    </row>
    <row r="44" spans="1:4" hidden="1" outlineLevel="1" x14ac:dyDescent="0.2">
      <c r="B44" s="21" t="e">
        <f>B41/7*365/B$2</f>
        <v>#DIV/0!</v>
      </c>
      <c r="C44" t="s">
        <v>71</v>
      </c>
    </row>
    <row r="45" spans="1:4" hidden="1" outlineLevel="1" x14ac:dyDescent="0.2">
      <c r="A45"/>
      <c r="B45" s="32" t="e">
        <f>B41/7/B$2</f>
        <v>#DIV/0!</v>
      </c>
      <c r="C45" t="s">
        <v>65</v>
      </c>
    </row>
    <row r="46" spans="1:4" x14ac:dyDescent="0.2">
      <c r="A46"/>
    </row>
    <row r="47" spans="1:4" x14ac:dyDescent="0.2">
      <c r="A47" s="2" t="s">
        <v>103</v>
      </c>
      <c r="B47" t="s">
        <v>259</v>
      </c>
    </row>
    <row r="48" spans="1:4" x14ac:dyDescent="0.2">
      <c r="A48" s="136">
        <v>0.1</v>
      </c>
      <c r="B48" t="e">
        <f>VLOOKUP(Weighted_no_Cameras,EC2_Performance_10,2)</f>
        <v>#N/A</v>
      </c>
    </row>
    <row r="49" spans="1:2" x14ac:dyDescent="0.2">
      <c r="A49" s="136">
        <v>0.25</v>
      </c>
      <c r="B49" t="e">
        <f>VLOOKUP(Weighted_no_Cameras,EC2_Performance_25,2)</f>
        <v>#N/A</v>
      </c>
    </row>
    <row r="50" spans="1:2" ht="14.5" customHeight="1" x14ac:dyDescent="0.2">
      <c r="A50" s="136">
        <v>0.5</v>
      </c>
      <c r="B50" t="e">
        <f>VLOOKUP(Weighted_no_Cameras,EC2_Performance_50,2)</f>
        <v>#N/A</v>
      </c>
    </row>
    <row r="51" spans="1:2" x14ac:dyDescent="0.2">
      <c r="A51" s="136">
        <v>1</v>
      </c>
      <c r="B51" t="e">
        <f>VLOOKUP(Weighted_no_Cameras,EC2_Performance_100,2)</f>
        <v>#N/A</v>
      </c>
    </row>
  </sheetData>
  <sheetProtection formatColumns="0" formatRows="0"/>
  <mergeCells count="4">
    <mergeCell ref="F17:G17"/>
    <mergeCell ref="A17:B17"/>
    <mergeCell ref="H17:I17"/>
    <mergeCell ref="C17:D17"/>
  </mergeCells>
  <pageMargins left="0.7" right="0.7" top="0.75" bottom="0.75" header="0.3" footer="0.3"/>
  <pageSetup paperSize="9" orientation="portrait" r:id="rId1"/>
  <headerFooter>
    <oddFooter>&amp;C&amp;1#&amp;"Calibri"&amp;8&amp;K000000Sensitivity: Internal (R3)</oddFooter>
  </headerFooter>
  <ignoredErrors>
    <ignoredError sqref="B5" unlockedFormula="1"/>
  </ignoredErrors>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C74D7-1CB9-42E8-8607-D29EE9A572CB}">
  <sheetPr>
    <pageSetUpPr fitToPage="1"/>
  </sheetPr>
  <dimension ref="A1:F53"/>
  <sheetViews>
    <sheetView zoomScale="120" zoomScaleNormal="120" workbookViewId="0">
      <selection activeCell="N20" sqref="N20"/>
    </sheetView>
  </sheetViews>
  <sheetFormatPr baseColWidth="10" defaultColWidth="8.83203125" defaultRowHeight="15" x14ac:dyDescent="0.2"/>
  <cols>
    <col min="1" max="1" width="12" customWidth="1"/>
    <col min="2" max="2" width="10.6640625" style="24" customWidth="1"/>
    <col min="3" max="3" width="9" style="23" customWidth="1"/>
    <col min="4" max="4" width="9.6640625" style="3" customWidth="1"/>
    <col min="7" max="7" width="1.83203125" customWidth="1"/>
  </cols>
  <sheetData>
    <row r="1" spans="1:6" ht="29" customHeight="1" x14ac:dyDescent="0.2">
      <c r="A1" s="265" t="s">
        <v>45</v>
      </c>
      <c r="B1" s="268" t="s">
        <v>78</v>
      </c>
      <c r="C1" s="269"/>
      <c r="D1" s="269"/>
      <c r="E1" s="269"/>
      <c r="F1" s="269"/>
    </row>
    <row r="2" spans="1:6" ht="14.5" customHeight="1" x14ac:dyDescent="0.2">
      <c r="A2" s="266"/>
      <c r="B2" s="51">
        <v>0.1</v>
      </c>
      <c r="C2" s="50">
        <v>0.25</v>
      </c>
      <c r="D2" s="50">
        <v>0.5</v>
      </c>
      <c r="E2" s="50">
        <v>1</v>
      </c>
      <c r="F2" s="49">
        <v>1</v>
      </c>
    </row>
    <row r="3" spans="1:6" ht="28.25" customHeight="1" x14ac:dyDescent="0.2">
      <c r="A3" s="267"/>
      <c r="B3" s="270" t="s">
        <v>80</v>
      </c>
      <c r="C3" s="271"/>
      <c r="D3" s="271"/>
      <c r="E3" s="272"/>
      <c r="F3" s="43" t="s">
        <v>81</v>
      </c>
    </row>
    <row r="4" spans="1:6" ht="28.25" customHeight="1" x14ac:dyDescent="0.2">
      <c r="A4" s="132"/>
      <c r="B4" s="133"/>
      <c r="C4" s="133"/>
      <c r="D4" s="133"/>
      <c r="E4" s="133"/>
      <c r="F4" s="134"/>
    </row>
    <row r="5" spans="1:6" x14ac:dyDescent="0.2">
      <c r="A5" s="40" t="s">
        <v>51</v>
      </c>
      <c r="B5" s="53">
        <v>8</v>
      </c>
      <c r="C5" s="53">
        <v>8</v>
      </c>
      <c r="D5" s="53">
        <v>7</v>
      </c>
      <c r="E5" s="53">
        <v>7</v>
      </c>
      <c r="F5" s="40">
        <v>8</v>
      </c>
    </row>
    <row r="6" spans="1:6" x14ac:dyDescent="0.2">
      <c r="A6" s="41" t="s">
        <v>52</v>
      </c>
      <c r="B6" s="54">
        <v>18</v>
      </c>
      <c r="C6" s="54">
        <v>17</v>
      </c>
      <c r="D6" s="54">
        <v>17</v>
      </c>
      <c r="E6" s="54">
        <v>16</v>
      </c>
      <c r="F6" s="41">
        <v>18</v>
      </c>
    </row>
    <row r="7" spans="1:6" x14ac:dyDescent="0.2">
      <c r="A7" s="40" t="s">
        <v>53</v>
      </c>
      <c r="B7" s="53">
        <v>40</v>
      </c>
      <c r="C7" s="53">
        <v>39</v>
      </c>
      <c r="D7" s="53">
        <v>38</v>
      </c>
      <c r="E7" s="40">
        <v>36</v>
      </c>
      <c r="F7" s="40">
        <v>41</v>
      </c>
    </row>
    <row r="8" spans="1:6" x14ac:dyDescent="0.2">
      <c r="A8" s="41" t="s">
        <v>54</v>
      </c>
      <c r="B8" s="54">
        <v>96</v>
      </c>
      <c r="C8" s="54">
        <v>95</v>
      </c>
      <c r="D8" s="54">
        <v>94</v>
      </c>
      <c r="E8" s="41">
        <v>92</v>
      </c>
      <c r="F8" s="41">
        <v>97</v>
      </c>
    </row>
    <row r="9" spans="1:6" x14ac:dyDescent="0.2">
      <c r="A9" s="40" t="s">
        <v>56</v>
      </c>
      <c r="B9" s="53">
        <v>113</v>
      </c>
      <c r="C9" s="53">
        <v>110</v>
      </c>
      <c r="D9" s="53">
        <v>106</v>
      </c>
      <c r="E9" s="40">
        <v>97</v>
      </c>
      <c r="F9" s="40">
        <v>115</v>
      </c>
    </row>
    <row r="10" spans="1:6" x14ac:dyDescent="0.2">
      <c r="A10" s="41" t="s">
        <v>57</v>
      </c>
      <c r="B10" s="54">
        <v>275</v>
      </c>
      <c r="C10" s="54">
        <v>268</v>
      </c>
      <c r="D10" s="41">
        <v>242</v>
      </c>
      <c r="E10" s="41">
        <v>133</v>
      </c>
      <c r="F10" s="41">
        <v>280</v>
      </c>
    </row>
    <row r="11" spans="1:6" x14ac:dyDescent="0.2">
      <c r="A11" s="40" t="s">
        <v>55</v>
      </c>
      <c r="B11" s="53">
        <v>480</v>
      </c>
      <c r="C11" s="40">
        <v>480</v>
      </c>
      <c r="D11" s="40">
        <v>468</v>
      </c>
      <c r="E11" s="40">
        <v>427</v>
      </c>
      <c r="F11" s="40">
        <v>480</v>
      </c>
    </row>
    <row r="14" spans="1:6" x14ac:dyDescent="0.2">
      <c r="C14" s="2">
        <v>481</v>
      </c>
    </row>
    <row r="15" spans="1:6" x14ac:dyDescent="0.2">
      <c r="A15" s="135" t="s">
        <v>254</v>
      </c>
      <c r="C15" s="23" t="str">
        <f>VLOOKUP(C14-1,A16:B23,2)</f>
        <v>No Match</v>
      </c>
    </row>
    <row r="16" spans="1:6" x14ac:dyDescent="0.2">
      <c r="A16">
        <v>0</v>
      </c>
      <c r="B16" s="24" t="s">
        <v>51</v>
      </c>
    </row>
    <row r="17" spans="1:2" x14ac:dyDescent="0.2">
      <c r="A17">
        <v>8</v>
      </c>
      <c r="B17" s="24" t="s">
        <v>52</v>
      </c>
    </row>
    <row r="18" spans="1:2" x14ac:dyDescent="0.2">
      <c r="A18">
        <v>18</v>
      </c>
      <c r="B18" s="24" t="s">
        <v>53</v>
      </c>
    </row>
    <row r="19" spans="1:2" x14ac:dyDescent="0.2">
      <c r="A19">
        <v>40</v>
      </c>
      <c r="B19" s="24" t="s">
        <v>54</v>
      </c>
    </row>
    <row r="20" spans="1:2" x14ac:dyDescent="0.2">
      <c r="A20">
        <v>96</v>
      </c>
      <c r="B20" s="24" t="s">
        <v>56</v>
      </c>
    </row>
    <row r="21" spans="1:2" x14ac:dyDescent="0.2">
      <c r="A21">
        <v>113</v>
      </c>
      <c r="B21" s="24" t="s">
        <v>57</v>
      </c>
    </row>
    <row r="22" spans="1:2" x14ac:dyDescent="0.2">
      <c r="A22">
        <v>275</v>
      </c>
      <c r="B22" s="24" t="s">
        <v>55</v>
      </c>
    </row>
    <row r="23" spans="1:2" x14ac:dyDescent="0.2">
      <c r="A23">
        <v>480</v>
      </c>
      <c r="B23" s="24" t="s">
        <v>260</v>
      </c>
    </row>
    <row r="25" spans="1:2" x14ac:dyDescent="0.2">
      <c r="A25" s="135" t="s">
        <v>255</v>
      </c>
    </row>
    <row r="26" spans="1:2" x14ac:dyDescent="0.2">
      <c r="A26">
        <v>0</v>
      </c>
      <c r="B26" s="24" t="s">
        <v>51</v>
      </c>
    </row>
    <row r="27" spans="1:2" x14ac:dyDescent="0.2">
      <c r="A27">
        <v>8</v>
      </c>
      <c r="B27" s="24" t="s">
        <v>52</v>
      </c>
    </row>
    <row r="28" spans="1:2" x14ac:dyDescent="0.2">
      <c r="A28">
        <v>17</v>
      </c>
      <c r="B28" s="24" t="s">
        <v>53</v>
      </c>
    </row>
    <row r="29" spans="1:2" x14ac:dyDescent="0.2">
      <c r="A29">
        <v>39</v>
      </c>
      <c r="B29" s="24" t="s">
        <v>54</v>
      </c>
    </row>
    <row r="30" spans="1:2" x14ac:dyDescent="0.2">
      <c r="A30">
        <v>95</v>
      </c>
      <c r="B30" s="24" t="s">
        <v>56</v>
      </c>
    </row>
    <row r="31" spans="1:2" x14ac:dyDescent="0.2">
      <c r="A31">
        <v>110</v>
      </c>
      <c r="B31" s="24" t="s">
        <v>57</v>
      </c>
    </row>
    <row r="32" spans="1:2" x14ac:dyDescent="0.2">
      <c r="A32">
        <v>268</v>
      </c>
      <c r="B32" s="24" t="s">
        <v>55</v>
      </c>
    </row>
    <row r="33" spans="1:2" x14ac:dyDescent="0.2">
      <c r="A33">
        <v>480</v>
      </c>
      <c r="B33" s="24" t="s">
        <v>260</v>
      </c>
    </row>
    <row r="35" spans="1:2" x14ac:dyDescent="0.2">
      <c r="A35" s="135" t="s">
        <v>256</v>
      </c>
    </row>
    <row r="36" spans="1:2" x14ac:dyDescent="0.2">
      <c r="A36">
        <v>0</v>
      </c>
      <c r="B36" s="24" t="s">
        <v>51</v>
      </c>
    </row>
    <row r="37" spans="1:2" x14ac:dyDescent="0.2">
      <c r="A37">
        <v>7</v>
      </c>
      <c r="B37" s="24" t="s">
        <v>52</v>
      </c>
    </row>
    <row r="38" spans="1:2" x14ac:dyDescent="0.2">
      <c r="A38">
        <v>17</v>
      </c>
      <c r="B38" s="24" t="s">
        <v>53</v>
      </c>
    </row>
    <row r="39" spans="1:2" x14ac:dyDescent="0.2">
      <c r="A39">
        <v>38</v>
      </c>
      <c r="B39" s="24" t="s">
        <v>54</v>
      </c>
    </row>
    <row r="40" spans="1:2" x14ac:dyDescent="0.2">
      <c r="A40">
        <v>94</v>
      </c>
      <c r="B40" s="24" t="s">
        <v>56</v>
      </c>
    </row>
    <row r="41" spans="1:2" x14ac:dyDescent="0.2">
      <c r="A41">
        <v>106</v>
      </c>
      <c r="B41" s="24" t="s">
        <v>57</v>
      </c>
    </row>
    <row r="42" spans="1:2" x14ac:dyDescent="0.2">
      <c r="A42">
        <v>242</v>
      </c>
      <c r="B42" s="24" t="s">
        <v>55</v>
      </c>
    </row>
    <row r="43" spans="1:2" x14ac:dyDescent="0.2">
      <c r="A43">
        <v>468</v>
      </c>
      <c r="B43" s="24" t="s">
        <v>260</v>
      </c>
    </row>
    <row r="45" spans="1:2" x14ac:dyDescent="0.2">
      <c r="A45" s="135" t="s">
        <v>257</v>
      </c>
    </row>
    <row r="46" spans="1:2" x14ac:dyDescent="0.2">
      <c r="A46">
        <v>0</v>
      </c>
      <c r="B46" s="24" t="s">
        <v>51</v>
      </c>
    </row>
    <row r="47" spans="1:2" x14ac:dyDescent="0.2">
      <c r="A47">
        <v>7</v>
      </c>
      <c r="B47" s="24" t="s">
        <v>52</v>
      </c>
    </row>
    <row r="48" spans="1:2" x14ac:dyDescent="0.2">
      <c r="A48">
        <v>16</v>
      </c>
      <c r="B48" s="24" t="s">
        <v>53</v>
      </c>
    </row>
    <row r="49" spans="1:2" x14ac:dyDescent="0.2">
      <c r="A49">
        <v>36</v>
      </c>
      <c r="B49" s="24" t="s">
        <v>54</v>
      </c>
    </row>
    <row r="50" spans="1:2" x14ac:dyDescent="0.2">
      <c r="A50">
        <v>92</v>
      </c>
      <c r="B50" s="24" t="s">
        <v>56</v>
      </c>
    </row>
    <row r="51" spans="1:2" x14ac:dyDescent="0.2">
      <c r="A51">
        <v>97</v>
      </c>
      <c r="B51" s="24" t="s">
        <v>57</v>
      </c>
    </row>
    <row r="52" spans="1:2" x14ac:dyDescent="0.2">
      <c r="A52">
        <v>133</v>
      </c>
      <c r="B52" s="24" t="s">
        <v>55</v>
      </c>
    </row>
    <row r="53" spans="1:2" x14ac:dyDescent="0.2">
      <c r="A53">
        <v>427</v>
      </c>
      <c r="B53" s="24" t="s">
        <v>260</v>
      </c>
    </row>
  </sheetData>
  <sheetProtection formatColumns="0" formatRows="0"/>
  <mergeCells count="3">
    <mergeCell ref="A1:A3"/>
    <mergeCell ref="B1:F1"/>
    <mergeCell ref="B3:E3"/>
  </mergeCells>
  <conditionalFormatting sqref="B5 B7 B9 B11">
    <cfRule type="cellIs" dxfId="7" priority="3" operator="equal">
      <formula>FLOOR(#REF!/B$2*(1-#REF!*(1-B$2)),1)</formula>
    </cfRule>
  </conditionalFormatting>
  <conditionalFormatting sqref="B6 B8 B10">
    <cfRule type="cellIs" dxfId="6" priority="4" operator="equal">
      <formula>FLOOR(#REF!/B$2*(1-#REF!*(1-B$2)),1)</formula>
    </cfRule>
  </conditionalFormatting>
  <conditionalFormatting sqref="C5 C7 C9 C11">
    <cfRule type="cellIs" dxfId="5" priority="1" operator="equal">
      <formula>FLOOR(#REF!/C$2*(1-#REF!*(1-C$2)),1)</formula>
    </cfRule>
  </conditionalFormatting>
  <conditionalFormatting sqref="C6 C8 C10">
    <cfRule type="cellIs" dxfId="4" priority="2" operator="equal">
      <formula>FLOOR(#REF!/C$2*(1-#REF!*(1-C$2)),1)</formula>
    </cfRule>
  </conditionalFormatting>
  <conditionalFormatting sqref="D5 D7 D9 D11">
    <cfRule type="cellIs" dxfId="3" priority="5" operator="equal">
      <formula>FLOOR(#REF!/D$2*(1-#REF!*(1-D$2)),1)</formula>
    </cfRule>
  </conditionalFormatting>
  <conditionalFormatting sqref="D6 D8 D10">
    <cfRule type="cellIs" dxfId="2" priority="6" operator="equal">
      <formula>FLOOR(#REF!/D$2*(1-#REF!*(1-D$2)),1)</formula>
    </cfRule>
  </conditionalFormatting>
  <conditionalFormatting sqref="E5 E7 E9 E11">
    <cfRule type="cellIs" dxfId="1" priority="7" operator="equal">
      <formula>FLOOR(#REF!/E$2*(1-#REF!*(1-E$2)),1)</formula>
    </cfRule>
  </conditionalFormatting>
  <conditionalFormatting sqref="E6 E8 E10">
    <cfRule type="cellIs" dxfId="0" priority="8" operator="equal">
      <formula>FLOOR(#REF!/E$2*(1-#REF!*(1-E$2)),1)</formula>
    </cfRule>
  </conditionalFormatting>
  <dataValidations count="1">
    <dataValidation type="decimal" allowBlank="1" showInputMessage="1" showErrorMessage="1" errorTitle="Invalid value" error="The value must be between 1% and 100%" sqref="B2:E2" xr:uid="{3563AF33-7B8D-471A-A83B-D513839FF88B}">
      <formula1>0.01</formula1>
      <formula2>1</formula2>
    </dataValidation>
  </dataValidations>
  <pageMargins left="1" right="1" top="1" bottom="1" header="0.5" footer="0.5"/>
  <pageSetup paperSize="9" scale="47" orientation="landscape" r:id="rId1"/>
  <headerFooter>
    <oddFooter>&amp;C&amp;1#&amp;"Calibri"&amp;8&amp;K000000Sensitivity: Internal (R3)</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97742-8F1C-41D6-A8DC-ACF2106841DA}">
  <dimension ref="A2:N31"/>
  <sheetViews>
    <sheetView workbookViewId="0">
      <selection activeCell="B14" sqref="B14"/>
    </sheetView>
  </sheetViews>
  <sheetFormatPr baseColWidth="10" defaultColWidth="8.83203125" defaultRowHeight="15" outlineLevelRow="1" x14ac:dyDescent="0.2"/>
  <cols>
    <col min="1" max="1" width="17.6640625" style="2" customWidth="1"/>
    <col min="2" max="2" width="11.33203125" bestFit="1" customWidth="1"/>
    <col min="3" max="3" width="8.1640625" customWidth="1"/>
    <col min="4" max="4" width="10.1640625" bestFit="1" customWidth="1"/>
    <col min="5" max="5" width="2.33203125" customWidth="1"/>
    <col min="6" max="6" width="13.83203125" bestFit="1" customWidth="1"/>
    <col min="7" max="7" width="10.6640625" bestFit="1" customWidth="1"/>
    <col min="8" max="8" width="8.1640625" customWidth="1"/>
    <col min="9" max="9" width="10.33203125" bestFit="1" customWidth="1"/>
    <col min="10" max="10" width="5.33203125" customWidth="1"/>
    <col min="11" max="11" width="13.83203125" bestFit="1" customWidth="1"/>
    <col min="12" max="13" width="5.83203125" bestFit="1" customWidth="1"/>
  </cols>
  <sheetData>
    <row r="2" spans="1:8" x14ac:dyDescent="0.2">
      <c r="A2" s="33" t="s">
        <v>42</v>
      </c>
      <c r="B2" s="44">
        <f>No_Cameras</f>
        <v>0</v>
      </c>
    </row>
    <row r="3" spans="1:8" x14ac:dyDescent="0.2">
      <c r="A3" s="33" t="s">
        <v>41</v>
      </c>
      <c r="B3" s="45">
        <f>Rec_Stream</f>
        <v>0</v>
      </c>
      <c r="C3" t="s">
        <v>11</v>
      </c>
    </row>
    <row r="4" spans="1:8" x14ac:dyDescent="0.2">
      <c r="A4" s="33" t="s">
        <v>63</v>
      </c>
      <c r="B4" s="46" t="str">
        <f>Rec_degree</f>
        <v>Select degree of recording</v>
      </c>
      <c r="C4" t="s">
        <v>69</v>
      </c>
    </row>
    <row r="5" spans="1:8" x14ac:dyDescent="0.2">
      <c r="A5" s="33" t="s">
        <v>192</v>
      </c>
      <c r="B5" s="47">
        <f>IF(Storage_Input=3,12,24*1)</f>
        <v>24</v>
      </c>
      <c r="C5" t="s">
        <v>40</v>
      </c>
    </row>
    <row r="6" spans="1:8" x14ac:dyDescent="0.2">
      <c r="A6" s="33" t="s">
        <v>74</v>
      </c>
      <c r="B6" s="48">
        <v>0</v>
      </c>
      <c r="C6" t="s">
        <v>69</v>
      </c>
    </row>
    <row r="7" spans="1:8" x14ac:dyDescent="0.2">
      <c r="A7" s="33" t="s">
        <v>75</v>
      </c>
      <c r="B7" s="48">
        <v>0</v>
      </c>
      <c r="C7" t="s">
        <v>70</v>
      </c>
    </row>
    <row r="8" spans="1:8" x14ac:dyDescent="0.2">
      <c r="A8" s="33" t="s">
        <v>76</v>
      </c>
      <c r="B8" s="46">
        <v>1</v>
      </c>
      <c r="C8" t="s">
        <v>70</v>
      </c>
    </row>
    <row r="9" spans="1:8" x14ac:dyDescent="0.2">
      <c r="A9" s="33" t="s">
        <v>39</v>
      </c>
      <c r="B9" s="47">
        <f>(Retention_Time*Time_Factor)</f>
        <v>0</v>
      </c>
      <c r="C9" t="s">
        <v>40</v>
      </c>
      <c r="F9" s="1" t="s">
        <v>195</v>
      </c>
    </row>
    <row r="10" spans="1:8" x14ac:dyDescent="0.2">
      <c r="A10" s="33" t="s">
        <v>194</v>
      </c>
      <c r="B10" s="79">
        <v>0.05</v>
      </c>
      <c r="F10" t="s">
        <v>193</v>
      </c>
      <c r="G10" s="21" t="e">
        <f>(B13/3)</f>
        <v>#DIV/0!</v>
      </c>
      <c r="H10" t="s">
        <v>49</v>
      </c>
    </row>
    <row r="11" spans="1:8" outlineLevel="1" x14ac:dyDescent="0.2">
      <c r="F11" t="s">
        <v>61</v>
      </c>
      <c r="G11" t="e">
        <f>B5*F20*B4/0.95</f>
        <v>#VALUE!</v>
      </c>
      <c r="H11" t="s">
        <v>49</v>
      </c>
    </row>
    <row r="12" spans="1:8" outlineLevel="1" x14ac:dyDescent="0.2">
      <c r="A12" s="55" t="s">
        <v>24</v>
      </c>
      <c r="B12" s="56" t="e">
        <f>A19/B2*1000/128+1</f>
        <v>#DIV/0!</v>
      </c>
      <c r="C12" s="57" t="s">
        <v>43</v>
      </c>
      <c r="D12" s="4"/>
    </row>
    <row r="13" spans="1:8" outlineLevel="1" x14ac:dyDescent="0.2">
      <c r="A13" s="58" t="s">
        <v>24</v>
      </c>
      <c r="B13" s="13" t="e">
        <f>B$2*B$12*(1+IF(B$8=0,0,1))</f>
        <v>#DIV/0!</v>
      </c>
      <c r="C13" t="s">
        <v>34</v>
      </c>
      <c r="D13" s="6"/>
      <c r="F13" s="1" t="s">
        <v>196</v>
      </c>
    </row>
    <row r="14" spans="1:8" outlineLevel="1" x14ac:dyDescent="0.2">
      <c r="A14" s="58" t="s">
        <v>90</v>
      </c>
      <c r="B14" s="13" t="e">
        <f>IF(Storage_Input=3,B5*F20*B4*(1+B10),MAX(B13/3,B5*F20*B4*(1+B10)))</f>
        <v>#DIV/0!</v>
      </c>
      <c r="C14" t="s">
        <v>49</v>
      </c>
      <c r="D14" s="21" t="e">
        <f>ROUNDUP(B14,-1)</f>
        <v>#DIV/0!</v>
      </c>
      <c r="F14" t="s">
        <v>193</v>
      </c>
      <c r="G14" s="21" t="e">
        <f>(B13*B4/12)+1</f>
        <v>#DIV/0!</v>
      </c>
      <c r="H14" t="s">
        <v>89</v>
      </c>
    </row>
    <row r="15" spans="1:8" outlineLevel="1" x14ac:dyDescent="0.2">
      <c r="A15" s="59" t="s">
        <v>91</v>
      </c>
      <c r="B15" s="78" t="e">
        <f>IF(Storage_Input=3,0,MAX(G14:G15,2))</f>
        <v>#DIV/0!</v>
      </c>
      <c r="C15" s="60" t="s">
        <v>89</v>
      </c>
      <c r="D15" s="80" t="e">
        <f>ROUNDUP(B15,1)</f>
        <v>#DIV/0!</v>
      </c>
      <c r="F15" t="s">
        <v>61</v>
      </c>
      <c r="G15" t="e">
        <f>(B9*F20/1024)*B4*(1+B10)</f>
        <v>#VALUE!</v>
      </c>
      <c r="H15" t="s">
        <v>89</v>
      </c>
    </row>
    <row r="16" spans="1:8" ht="16" thickBot="1" x14ac:dyDescent="0.25">
      <c r="F16" t="s">
        <v>98</v>
      </c>
      <c r="G16" t="e">
        <f>No_Cameras*Rec_Stream*Rec_degree</f>
        <v>#VALUE!</v>
      </c>
      <c r="H16" t="s">
        <v>46</v>
      </c>
    </row>
    <row r="17" spans="1:14" ht="16" outlineLevel="1" thickBot="1" x14ac:dyDescent="0.25">
      <c r="A17" s="263" t="s">
        <v>19</v>
      </c>
      <c r="B17" s="264"/>
      <c r="C17" s="263" t="s">
        <v>21</v>
      </c>
      <c r="D17" s="264"/>
      <c r="F17" s="261" t="s">
        <v>18</v>
      </c>
      <c r="G17" s="262"/>
      <c r="H17" s="263" t="s">
        <v>20</v>
      </c>
      <c r="I17" s="264"/>
    </row>
    <row r="18" spans="1:14" outlineLevel="1" x14ac:dyDescent="0.2">
      <c r="A18" s="5">
        <f>$B2*$B3</f>
        <v>0</v>
      </c>
      <c r="B18" s="6" t="s">
        <v>11</v>
      </c>
      <c r="C18" s="5">
        <f>$B2*$B3/1000</f>
        <v>0</v>
      </c>
      <c r="D18" s="6" t="s">
        <v>10</v>
      </c>
      <c r="F18" s="5">
        <f>$B2*$B3</f>
        <v>0</v>
      </c>
      <c r="G18" s="6" t="s">
        <v>11</v>
      </c>
      <c r="H18" s="5">
        <f>$B2*$B3/1000</f>
        <v>0</v>
      </c>
      <c r="I18" s="6" t="s">
        <v>10</v>
      </c>
    </row>
    <row r="19" spans="1:14" outlineLevel="1" x14ac:dyDescent="0.2">
      <c r="A19" s="5">
        <f>A18/8</f>
        <v>0</v>
      </c>
      <c r="B19" s="6" t="s">
        <v>5</v>
      </c>
      <c r="C19" s="5">
        <f>C18/8</f>
        <v>0</v>
      </c>
      <c r="D19" s="6" t="s">
        <v>17</v>
      </c>
      <c r="F19" s="5">
        <f>F18/8*(1000/1024)^2</f>
        <v>0</v>
      </c>
      <c r="G19" s="6" t="s">
        <v>3</v>
      </c>
      <c r="H19" s="5">
        <f>H18/8*(1000/1024)^3</f>
        <v>0</v>
      </c>
      <c r="I19" s="6" t="s">
        <v>12</v>
      </c>
    </row>
    <row r="20" spans="1:14" outlineLevel="1" x14ac:dyDescent="0.2">
      <c r="A20" s="5">
        <f>A19*3600/1000</f>
        <v>0</v>
      </c>
      <c r="B20" s="6" t="s">
        <v>6</v>
      </c>
      <c r="C20" s="5">
        <f>C19*3600/1000</f>
        <v>0</v>
      </c>
      <c r="D20" s="6" t="s">
        <v>25</v>
      </c>
      <c r="F20" s="5">
        <f>F19*3600/1024</f>
        <v>0</v>
      </c>
      <c r="G20" s="6" t="s">
        <v>0</v>
      </c>
      <c r="H20" s="5">
        <f>H19*3600/1024</f>
        <v>0</v>
      </c>
      <c r="I20" s="6" t="s">
        <v>13</v>
      </c>
      <c r="N20" s="66"/>
    </row>
    <row r="21" spans="1:14" outlineLevel="1" x14ac:dyDescent="0.2">
      <c r="A21" s="7">
        <f>A20*24</f>
        <v>0</v>
      </c>
      <c r="B21" s="6" t="s">
        <v>7</v>
      </c>
      <c r="C21" s="7">
        <f>C20*24</f>
        <v>0</v>
      </c>
      <c r="D21" s="6" t="s">
        <v>26</v>
      </c>
      <c r="F21" s="7">
        <f>F20*24</f>
        <v>0</v>
      </c>
      <c r="G21" s="6" t="s">
        <v>1</v>
      </c>
      <c r="H21" s="7">
        <f>H20*24</f>
        <v>0</v>
      </c>
      <c r="I21" s="6" t="s">
        <v>14</v>
      </c>
    </row>
    <row r="22" spans="1:14" outlineLevel="1" x14ac:dyDescent="0.2">
      <c r="A22" s="7">
        <f>A21*7</f>
        <v>0</v>
      </c>
      <c r="B22" s="6" t="s">
        <v>8</v>
      </c>
      <c r="C22" s="7">
        <f>C21*7</f>
        <v>0</v>
      </c>
      <c r="D22" s="6" t="s">
        <v>27</v>
      </c>
      <c r="F22" s="7">
        <f>F21*7</f>
        <v>0</v>
      </c>
      <c r="G22" s="6" t="s">
        <v>4</v>
      </c>
      <c r="H22" s="7">
        <f>H21*7</f>
        <v>0</v>
      </c>
      <c r="I22" s="6" t="s">
        <v>15</v>
      </c>
    </row>
    <row r="23" spans="1:14" outlineLevel="1" x14ac:dyDescent="0.2">
      <c r="A23" s="8">
        <f>A21*365/12</f>
        <v>0</v>
      </c>
      <c r="B23" s="9" t="s">
        <v>9</v>
      </c>
      <c r="C23" s="8">
        <f>C21*365/12</f>
        <v>0</v>
      </c>
      <c r="D23" s="9" t="s">
        <v>28</v>
      </c>
      <c r="F23" s="8">
        <f>F21*365/12</f>
        <v>0</v>
      </c>
      <c r="G23" s="9" t="s">
        <v>2</v>
      </c>
      <c r="H23" s="8">
        <f>H21*365/12</f>
        <v>0</v>
      </c>
      <c r="I23" s="9" t="s">
        <v>16</v>
      </c>
    </row>
    <row r="24" spans="1:14" outlineLevel="1" x14ac:dyDescent="0.2">
      <c r="A24" s="13"/>
      <c r="C24" s="13"/>
      <c r="E24" s="13"/>
    </row>
    <row r="25" spans="1:14" outlineLevel="1" x14ac:dyDescent="0.2">
      <c r="A25" s="11" t="s">
        <v>23</v>
      </c>
      <c r="C25" s="14">
        <v>0.08</v>
      </c>
    </row>
    <row r="26" spans="1:14" outlineLevel="1" x14ac:dyDescent="0.2">
      <c r="A26"/>
      <c r="H26" s="36">
        <f>1024/1000</f>
        <v>1.024</v>
      </c>
      <c r="I26" s="4" t="s">
        <v>35</v>
      </c>
    </row>
    <row r="27" spans="1:14" outlineLevel="1" x14ac:dyDescent="0.2">
      <c r="A27" s="10">
        <f>A18*(1+$C$25)</f>
        <v>0</v>
      </c>
      <c r="B27" s="4" t="s">
        <v>11</v>
      </c>
      <c r="C27" s="10">
        <f>C18*(1+$C$25)</f>
        <v>0</v>
      </c>
      <c r="D27" s="4" t="s">
        <v>10</v>
      </c>
      <c r="E27" s="15"/>
      <c r="H27" s="37">
        <f>H$26^2</f>
        <v>1.048576</v>
      </c>
      <c r="I27" s="6" t="s">
        <v>36</v>
      </c>
    </row>
    <row r="28" spans="1:14" outlineLevel="1" x14ac:dyDescent="0.2">
      <c r="A28" s="5">
        <f>A19*(1+$C$25)</f>
        <v>0</v>
      </c>
      <c r="B28" s="6" t="s">
        <v>5</v>
      </c>
      <c r="C28" s="5">
        <f>C19*(1+$C$25)</f>
        <v>0</v>
      </c>
      <c r="D28" s="6" t="s">
        <v>17</v>
      </c>
      <c r="E28" s="15"/>
      <c r="H28" s="37">
        <f>H$26^3</f>
        <v>1.0737418240000001</v>
      </c>
      <c r="I28" s="6" t="s">
        <v>37</v>
      </c>
    </row>
    <row r="29" spans="1:14" outlineLevel="1" x14ac:dyDescent="0.2">
      <c r="A29" s="12">
        <f>A28*60/1000</f>
        <v>0</v>
      </c>
      <c r="B29" s="9" t="s">
        <v>22</v>
      </c>
      <c r="C29" s="12">
        <f>C28*60</f>
        <v>0</v>
      </c>
      <c r="D29" s="9" t="s">
        <v>22</v>
      </c>
      <c r="E29" s="16"/>
      <c r="H29" s="38">
        <f>H$26^4</f>
        <v>1.099511627776</v>
      </c>
      <c r="I29" s="9" t="s">
        <v>38</v>
      </c>
    </row>
    <row r="30" spans="1:14" outlineLevel="1" x14ac:dyDescent="0.2">
      <c r="A30"/>
      <c r="C30" s="2"/>
    </row>
    <row r="31" spans="1:14" x14ac:dyDescent="0.2">
      <c r="A31"/>
      <c r="C31" s="2"/>
    </row>
  </sheetData>
  <mergeCells count="4">
    <mergeCell ref="A17:B17"/>
    <mergeCell ref="C17:D17"/>
    <mergeCell ref="F17:G17"/>
    <mergeCell ref="H17:I17"/>
  </mergeCells>
  <pageMargins left="0.7" right="0.7" top="0.75" bottom="0.75" header="0.3" footer="0.3"/>
  <pageSetup paperSize="9" orientation="portrait" verticalDpi="0" r:id="rId1"/>
  <headerFooter>
    <oddFooter>&amp;C&amp;1#&amp;"Calibri"&amp;8&amp;K000000Sensitivity: Internal (R3)</oddFoot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DC295-7023-4B82-A644-5C22BE8DD413}">
  <dimension ref="A1:G31"/>
  <sheetViews>
    <sheetView workbookViewId="0">
      <selection activeCell="A22" sqref="A1:XFD1048576"/>
    </sheetView>
  </sheetViews>
  <sheetFormatPr baseColWidth="10" defaultColWidth="8.83203125" defaultRowHeight="15" x14ac:dyDescent="0.2"/>
  <cols>
    <col min="1" max="1" width="25.6640625" bestFit="1" customWidth="1"/>
    <col min="2" max="3" width="22.6640625" customWidth="1"/>
    <col min="4" max="5" width="22.6640625" style="24" customWidth="1"/>
  </cols>
  <sheetData>
    <row r="1" spans="1:7" x14ac:dyDescent="0.2">
      <c r="A1" t="s">
        <v>60</v>
      </c>
      <c r="B1" s="260" t="s">
        <v>141</v>
      </c>
      <c r="C1" s="260"/>
      <c r="D1" s="260" t="s">
        <v>142</v>
      </c>
      <c r="E1" s="260"/>
    </row>
    <row r="2" spans="1:7" x14ac:dyDescent="0.2">
      <c r="A2" t="s">
        <v>144</v>
      </c>
      <c r="B2" s="24" t="s">
        <v>136</v>
      </c>
      <c r="C2" s="24" t="s">
        <v>137</v>
      </c>
      <c r="D2" s="24" t="s">
        <v>136</v>
      </c>
      <c r="E2" s="24" t="s">
        <v>137</v>
      </c>
    </row>
    <row r="3" spans="1:7" x14ac:dyDescent="0.2">
      <c r="A3" t="s">
        <v>50</v>
      </c>
      <c r="B3">
        <f>(730*0.06)</f>
        <v>43.8</v>
      </c>
      <c r="C3">
        <f>(730*0.064)</f>
        <v>46.72</v>
      </c>
      <c r="D3" s="24">
        <v>26.57</v>
      </c>
      <c r="E3" s="24">
        <v>27.81</v>
      </c>
      <c r="F3" s="23">
        <f>(D3-B3)/B3</f>
        <v>-0.3933789954337899</v>
      </c>
      <c r="G3" s="23">
        <f>(E3-C3)/C3</f>
        <v>-0.40475171232876711</v>
      </c>
    </row>
    <row r="4" spans="1:7" x14ac:dyDescent="0.2">
      <c r="A4" t="s">
        <v>51</v>
      </c>
      <c r="B4">
        <f>(730*0.1108)</f>
        <v>80.884</v>
      </c>
      <c r="C4">
        <f>(730*0.1188)</f>
        <v>86.724000000000004</v>
      </c>
      <c r="D4" s="24">
        <v>46.36</v>
      </c>
      <c r="E4" s="24">
        <v>48.91</v>
      </c>
      <c r="F4" s="23">
        <f t="shared" ref="F4:F10" si="0">(D4-B4)/B4</f>
        <v>-0.42683348993620496</v>
      </c>
      <c r="G4" s="23">
        <f t="shared" ref="G4:G10" si="1">(E4-C4)/C4</f>
        <v>-0.4360269360269361</v>
      </c>
    </row>
    <row r="5" spans="1:7" x14ac:dyDescent="0.2">
      <c r="A5" t="s">
        <v>52</v>
      </c>
      <c r="B5">
        <f>(730*0.177)</f>
        <v>129.20999999999998</v>
      </c>
      <c r="C5">
        <f>(730*0.188)</f>
        <v>137.24</v>
      </c>
      <c r="D5" s="24">
        <v>93.44</v>
      </c>
      <c r="E5" s="24">
        <v>97.09</v>
      </c>
      <c r="F5" s="23">
        <f t="shared" si="0"/>
        <v>-0.27683615819209029</v>
      </c>
      <c r="G5" s="23">
        <f t="shared" si="1"/>
        <v>-0.29255319148936171</v>
      </c>
    </row>
    <row r="6" spans="1:7" x14ac:dyDescent="0.2">
      <c r="A6" t="s">
        <v>53</v>
      </c>
      <c r="B6">
        <f>(730*0.354)</f>
        <v>258.41999999999996</v>
      </c>
      <c r="C6">
        <f>(730*0.376)</f>
        <v>274.48</v>
      </c>
      <c r="D6" s="24">
        <v>186.15</v>
      </c>
      <c r="E6" s="24">
        <v>194.91</v>
      </c>
      <c r="F6" s="23">
        <f t="shared" si="0"/>
        <v>-0.27966101694915241</v>
      </c>
      <c r="G6" s="23">
        <f t="shared" si="1"/>
        <v>-0.28989361702127664</v>
      </c>
    </row>
    <row r="7" spans="1:7" x14ac:dyDescent="0.2">
      <c r="A7" t="s">
        <v>54</v>
      </c>
      <c r="B7">
        <f>(730*0.708)</f>
        <v>516.83999999999992</v>
      </c>
      <c r="C7">
        <f>(730*0.752)</f>
        <v>548.96</v>
      </c>
      <c r="D7" s="24">
        <v>372.3</v>
      </c>
      <c r="E7" s="24">
        <v>389.82</v>
      </c>
      <c r="F7" s="23">
        <f t="shared" si="0"/>
        <v>-0.27966101694915241</v>
      </c>
      <c r="G7" s="23">
        <f t="shared" si="1"/>
        <v>-0.28989361702127664</v>
      </c>
    </row>
    <row r="8" spans="1:7" x14ac:dyDescent="0.2">
      <c r="A8" t="s">
        <v>56</v>
      </c>
      <c r="B8">
        <f>(730*0.71)</f>
        <v>518.29999999999995</v>
      </c>
      <c r="C8">
        <f>(730*0.771)</f>
        <v>562.83000000000004</v>
      </c>
      <c r="D8" s="24">
        <v>300.02999999999997</v>
      </c>
      <c r="E8" s="24">
        <v>319.01</v>
      </c>
      <c r="F8" s="23">
        <f t="shared" si="0"/>
        <v>-0.42112676056338028</v>
      </c>
      <c r="G8" s="23">
        <f t="shared" si="1"/>
        <v>-0.43320363164721148</v>
      </c>
    </row>
    <row r="9" spans="1:7" x14ac:dyDescent="0.2">
      <c r="A9" t="s">
        <v>57</v>
      </c>
      <c r="B9">
        <f>(730*1.12)</f>
        <v>817.6</v>
      </c>
      <c r="C9">
        <f>(730*1.206)</f>
        <v>880.38</v>
      </c>
      <c r="D9" s="24">
        <v>505.89</v>
      </c>
      <c r="E9" s="24">
        <v>532.9</v>
      </c>
      <c r="F9" s="23">
        <f t="shared" si="0"/>
        <v>-0.38125000000000003</v>
      </c>
      <c r="G9" s="23">
        <f t="shared" si="1"/>
        <v>-0.39469320066334995</v>
      </c>
    </row>
    <row r="10" spans="1:7" x14ac:dyDescent="0.2">
      <c r="A10" t="s">
        <v>55</v>
      </c>
      <c r="B10">
        <f>(730*1.94)</f>
        <v>1416.2</v>
      </c>
      <c r="C10">
        <f>(730*2.078)</f>
        <v>1516.9399999999998</v>
      </c>
      <c r="D10" s="24">
        <v>916.88</v>
      </c>
      <c r="E10" s="24">
        <v>960.68</v>
      </c>
      <c r="F10" s="23">
        <f t="shared" si="0"/>
        <v>-0.35257731958762889</v>
      </c>
      <c r="G10" s="23">
        <f t="shared" si="1"/>
        <v>-0.36669874879692005</v>
      </c>
    </row>
    <row r="21" spans="1:3" x14ac:dyDescent="0.2">
      <c r="B21" s="24" t="s">
        <v>136</v>
      </c>
      <c r="C21" s="24" t="s">
        <v>137</v>
      </c>
    </row>
    <row r="22" spans="1:3" x14ac:dyDescent="0.2">
      <c r="A22" t="s">
        <v>47</v>
      </c>
      <c r="B22">
        <v>0.1</v>
      </c>
      <c r="C22">
        <v>0.11</v>
      </c>
    </row>
    <row r="23" spans="1:3" x14ac:dyDescent="0.2">
      <c r="A23" t="s">
        <v>96</v>
      </c>
      <c r="B23">
        <v>1.2999999999999999E-2</v>
      </c>
      <c r="C23">
        <v>1.2999999999999999E-2</v>
      </c>
    </row>
    <row r="24" spans="1:3" x14ac:dyDescent="0.2">
      <c r="A24" t="s">
        <v>97</v>
      </c>
      <c r="B24">
        <v>2.5000000000000001E-2</v>
      </c>
      <c r="C24">
        <v>2.5000000000000001E-2</v>
      </c>
    </row>
    <row r="25" spans="1:3" x14ac:dyDescent="0.2">
      <c r="A25" t="s">
        <v>223</v>
      </c>
      <c r="B25">
        <v>2.2000000000000002</v>
      </c>
      <c r="C25">
        <v>2.42</v>
      </c>
    </row>
    <row r="26" spans="1:3" x14ac:dyDescent="0.2">
      <c r="A26" t="s">
        <v>224</v>
      </c>
      <c r="B26">
        <v>4.5</v>
      </c>
      <c r="C26">
        <v>4.95</v>
      </c>
    </row>
    <row r="27" spans="1:3" x14ac:dyDescent="0.2">
      <c r="A27" t="s">
        <v>151</v>
      </c>
      <c r="B27">
        <f>(730*0.05)</f>
        <v>36.5</v>
      </c>
      <c r="C27">
        <f>(730*0.05)</f>
        <v>36.5</v>
      </c>
    </row>
    <row r="28" spans="1:3" x14ac:dyDescent="0.2">
      <c r="A28" t="s">
        <v>150</v>
      </c>
      <c r="B28">
        <v>0.09</v>
      </c>
      <c r="C28">
        <v>0.09</v>
      </c>
    </row>
    <row r="29" spans="1:3" x14ac:dyDescent="0.2">
      <c r="A29" t="s">
        <v>152</v>
      </c>
      <c r="B29">
        <v>4.1900000000000004</v>
      </c>
      <c r="C29">
        <v>4.1900000000000004</v>
      </c>
    </row>
    <row r="30" spans="1:3" x14ac:dyDescent="0.2">
      <c r="A30" t="s">
        <v>169</v>
      </c>
      <c r="B30">
        <v>1</v>
      </c>
      <c r="C30">
        <v>1.0900000000000001</v>
      </c>
    </row>
    <row r="31" spans="1:3" x14ac:dyDescent="0.2">
      <c r="A31" t="s">
        <v>170</v>
      </c>
      <c r="B31">
        <v>2.73</v>
      </c>
      <c r="C31">
        <v>2.97</v>
      </c>
    </row>
  </sheetData>
  <mergeCells count="2">
    <mergeCell ref="B1:C1"/>
    <mergeCell ref="D1:E1"/>
  </mergeCells>
  <pageMargins left="0.7" right="0.7" top="0.75" bottom="0.75" header="0.3" footer="0.3"/>
  <pageSetup paperSize="9" orientation="portrait" verticalDpi="0" r:id="rId1"/>
  <headerFooter>
    <oddFooter>&amp;C&amp;1#&amp;"Calibri"&amp;8&amp;K000000Sensitivity: Internal (R3)</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83</vt:i4>
      </vt:variant>
    </vt:vector>
  </HeadingPairs>
  <TitlesOfParts>
    <vt:vector size="93" baseType="lpstr">
      <vt:lpstr>XProtect Calculator</vt:lpstr>
      <vt:lpstr>Surveillance Bridge</vt:lpstr>
      <vt:lpstr>Tiger Connector</vt:lpstr>
      <vt:lpstr>Tiger Input</vt:lpstr>
      <vt:lpstr>Input</vt:lpstr>
      <vt:lpstr>Calulations</vt:lpstr>
      <vt:lpstr>EC2</vt:lpstr>
      <vt:lpstr>EC2 Guideline</vt:lpstr>
      <vt:lpstr>Storage Calulations</vt:lpstr>
      <vt:lpstr>AWS Prices</vt:lpstr>
      <vt:lpstr>AppStream_Hours</vt:lpstr>
      <vt:lpstr>AppStream_Instance_Type</vt:lpstr>
      <vt:lpstr>AppStream_Streaming_Price</vt:lpstr>
      <vt:lpstr>AppStream_Users_Price</vt:lpstr>
      <vt:lpstr>Archive</vt:lpstr>
      <vt:lpstr>Archive__retention_period</vt:lpstr>
      <vt:lpstr>Archive_Storage</vt:lpstr>
      <vt:lpstr>Archive_Tier_Capacity</vt:lpstr>
      <vt:lpstr>Archive_Tier_capacity_required</vt:lpstr>
      <vt:lpstr>AWS_Archive_Tier</vt:lpstr>
      <vt:lpstr>AWS_Archive_Tier_cost</vt:lpstr>
      <vt:lpstr>AWS_Immediate_Tier</vt:lpstr>
      <vt:lpstr>AWS_Immediate_Tier_cost</vt:lpstr>
      <vt:lpstr>AWS_Services</vt:lpstr>
      <vt:lpstr>Check_EC2_Payment</vt:lpstr>
      <vt:lpstr>Check_Region</vt:lpstr>
      <vt:lpstr>Client_Access</vt:lpstr>
      <vt:lpstr>Custom_Archive</vt:lpstr>
      <vt:lpstr>Custom_MediaDB</vt:lpstr>
      <vt:lpstr>Custom_MediaDB1</vt:lpstr>
      <vt:lpstr>Daily_Usage</vt:lpstr>
      <vt:lpstr>Down_Throughput</vt:lpstr>
      <vt:lpstr>Downlink</vt:lpstr>
      <vt:lpstr>EBS_ConfigDB_Price</vt:lpstr>
      <vt:lpstr>EBS_LiveDB_Price</vt:lpstr>
      <vt:lpstr>EC2_Instance</vt:lpstr>
      <vt:lpstr>EC2_Instances</vt:lpstr>
      <vt:lpstr>EC2_Payment</vt:lpstr>
      <vt:lpstr>EC2_Payment_Name</vt:lpstr>
      <vt:lpstr>EC2_Performance</vt:lpstr>
      <vt:lpstr>EC2_Performance_10</vt:lpstr>
      <vt:lpstr>EC2_Performance_100</vt:lpstr>
      <vt:lpstr>EC2_Performance_25</vt:lpstr>
      <vt:lpstr>EC2_Performance_50</vt:lpstr>
      <vt:lpstr>EC2_Price</vt:lpstr>
      <vt:lpstr>EC2_Price_Column</vt:lpstr>
      <vt:lpstr>EC2Data</vt:lpstr>
      <vt:lpstr>Egress_per_Month</vt:lpstr>
      <vt:lpstr>Egress_Price</vt:lpstr>
      <vt:lpstr>Error_Message</vt:lpstr>
      <vt:lpstr>FSX_AZ</vt:lpstr>
      <vt:lpstr>FSX_AZ_Deployment</vt:lpstr>
      <vt:lpstr>FSX_Storage_Price</vt:lpstr>
      <vt:lpstr>FSX_Thoughput_Allocation</vt:lpstr>
      <vt:lpstr>FSX_Throughput_Price</vt:lpstr>
      <vt:lpstr>Immediate_Tier_Capacity</vt:lpstr>
      <vt:lpstr>Immediate_Tier_capacity_required</vt:lpstr>
      <vt:lpstr>InputData</vt:lpstr>
      <vt:lpstr>Live_Storage</vt:lpstr>
      <vt:lpstr>MediaDB</vt:lpstr>
      <vt:lpstr>Nearline_retention_period</vt:lpstr>
      <vt:lpstr>Network_Overhead</vt:lpstr>
      <vt:lpstr>No_Cameras</vt:lpstr>
      <vt:lpstr>No_Operators</vt:lpstr>
      <vt:lpstr>No_Sites</vt:lpstr>
      <vt:lpstr>Number_of_folders</vt:lpstr>
      <vt:lpstr>Percentage_of_material_being_reviewed</vt:lpstr>
      <vt:lpstr>Percentage_OnPremises</vt:lpstr>
      <vt:lpstr>Rec_degree</vt:lpstr>
      <vt:lpstr>Rec_Stream</vt:lpstr>
      <vt:lpstr>Region</vt:lpstr>
      <vt:lpstr>Region_Name</vt:lpstr>
      <vt:lpstr>Region_Offset</vt:lpstr>
      <vt:lpstr>Req_Archive</vt:lpstr>
      <vt:lpstr>Req_MediaDB</vt:lpstr>
      <vt:lpstr>ReqStorage</vt:lpstr>
      <vt:lpstr>Retention_Time</vt:lpstr>
      <vt:lpstr>Retention_Unit</vt:lpstr>
      <vt:lpstr>Selected_Archive_tier</vt:lpstr>
      <vt:lpstr>Selected_Immediate_Tier</vt:lpstr>
      <vt:lpstr>Storage_Input</vt:lpstr>
      <vt:lpstr>StorageData</vt:lpstr>
      <vt:lpstr>Table_Split</vt:lpstr>
      <vt:lpstr>Throughput</vt:lpstr>
      <vt:lpstr>Time_Factor</vt:lpstr>
      <vt:lpstr>Total_Days</vt:lpstr>
      <vt:lpstr>Up_Throughput</vt:lpstr>
      <vt:lpstr>Uplink</vt:lpstr>
      <vt:lpstr>Video_Streams</vt:lpstr>
      <vt:lpstr>Viewed_Cameras</vt:lpstr>
      <vt:lpstr>VPN</vt:lpstr>
      <vt:lpstr>VPN_Price</vt:lpstr>
      <vt:lpstr>Weighted_no_Cameras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JLI@milestonesys.com</dc:creator>
  <cp:lastModifiedBy>Bernard Lamborelle</cp:lastModifiedBy>
  <cp:lastPrinted>2020-06-07T16:42:06Z</cp:lastPrinted>
  <dcterms:created xsi:type="dcterms:W3CDTF">2020-02-12T11:24:51Z</dcterms:created>
  <dcterms:modified xsi:type="dcterms:W3CDTF">2024-02-01T16:27:46Z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a506b4-08b1-46de-a172-d2a2629314fb_Enabled">
    <vt:lpwstr>True</vt:lpwstr>
  </property>
  <property fmtid="{D5CDD505-2E9C-101B-9397-08002B2CF9AE}" pid="3" name="MSIP_Label_91a506b4-08b1-46de-a172-d2a2629314fb_SiteId">
    <vt:lpwstr>4744e4b2-072d-4754-be71-250b45e049fe</vt:lpwstr>
  </property>
  <property fmtid="{D5CDD505-2E9C-101B-9397-08002B2CF9AE}" pid="4" name="MSIP_Label_91a506b4-08b1-46de-a172-d2a2629314fb_Owner">
    <vt:lpwstr>pek@milestone.dk</vt:lpwstr>
  </property>
  <property fmtid="{D5CDD505-2E9C-101B-9397-08002B2CF9AE}" pid="5" name="MSIP_Label_91a506b4-08b1-46de-a172-d2a2629314fb_SetDate">
    <vt:lpwstr>2020-03-17T09:48:56.0289765Z</vt:lpwstr>
  </property>
  <property fmtid="{D5CDD505-2E9C-101B-9397-08002B2CF9AE}" pid="6" name="MSIP_Label_91a506b4-08b1-46de-a172-d2a2629314fb_Name">
    <vt:lpwstr>Internal (R3)</vt:lpwstr>
  </property>
  <property fmtid="{D5CDD505-2E9C-101B-9397-08002B2CF9AE}" pid="7" name="MSIP_Label_91a506b4-08b1-46de-a172-d2a2629314fb_Application">
    <vt:lpwstr>Microsoft Azure Information Protection</vt:lpwstr>
  </property>
  <property fmtid="{D5CDD505-2E9C-101B-9397-08002B2CF9AE}" pid="8" name="MSIP_Label_91a506b4-08b1-46de-a172-d2a2629314fb_ActionId">
    <vt:lpwstr>9942d234-977d-45b7-86ac-83a287833667</vt:lpwstr>
  </property>
  <property fmtid="{D5CDD505-2E9C-101B-9397-08002B2CF9AE}" pid="9" name="MSIP_Label_91a506b4-08b1-46de-a172-d2a2629314fb_Extended_MSFT_Method">
    <vt:lpwstr>Manual</vt:lpwstr>
  </property>
  <property fmtid="{D5CDD505-2E9C-101B-9397-08002B2CF9AE}" pid="10" name="Sensitivity">
    <vt:lpwstr>Internal (R3)</vt:lpwstr>
  </property>
</Properties>
</file>